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10"/>
  <workbookPr/>
  <mc:AlternateContent xmlns:mc="http://schemas.openxmlformats.org/markup-compatibility/2006">
    <mc:Choice Requires="x15">
      <x15ac:absPath xmlns:x15ac="http://schemas.microsoft.com/office/spreadsheetml/2010/11/ac" url="C:\Users\furka\OneDrive\Desktop\vitademy\excel\161 kredi çekip faize yatırmak\"/>
    </mc:Choice>
  </mc:AlternateContent>
  <xr:revisionPtr revIDLastSave="0" documentId="13_ncr:1_{89A7E527-843A-47CD-B777-DC559DEF91C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Kredi" sheetId="2" r:id="rId1"/>
    <sheet name="Vadeli Mevduat" sheetId="3" r:id="rId2"/>
    <sheet name="Takvim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 a="1"/>
  <c r="B6" i="2"/>
  <c r="B7" i="2" s="1"/>
  <c r="B2" i="1" s="1"/>
  <c r="B4" i="2"/>
  <c r="B5" i="2" s="1"/>
  <c r="E17" i="1" l="1"/>
  <c r="E14" i="1"/>
  <c r="E15" i="1"/>
  <c r="E16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" i="1"/>
  <c r="E4" i="1"/>
  <c r="E6" i="1"/>
  <c r="E7" i="1"/>
  <c r="E8" i="1"/>
  <c r="E9" i="1"/>
  <c r="E10" i="1"/>
  <c r="E11" i="1"/>
  <c r="E12" i="1"/>
  <c r="E13" i="1"/>
  <c r="E5" i="1"/>
  <c r="A2" i="1"/>
  <c r="E2" i="3"/>
  <c r="B8" i="2"/>
  <c r="E2" i="1" l="1"/>
  <c r="C2" i="1"/>
  <c r="D2" i="1" s="1"/>
  <c r="F2" i="1" s="1"/>
  <c r="B3" i="1" s="1"/>
  <c r="E3" i="3"/>
  <c r="E4" i="3" s="1"/>
  <c r="E5" i="3" s="1"/>
  <c r="E6" i="3" s="1"/>
  <c r="E39" i="1"/>
  <c r="C3" i="1" l="1"/>
  <c r="D3" i="1" s="1"/>
  <c r="F3" i="1" s="1"/>
  <c r="B4" i="1" s="1"/>
  <c r="C4" i="1" l="1"/>
  <c r="D4" i="1" s="1"/>
  <c r="F4" i="1" s="1"/>
  <c r="B5" i="1" s="1"/>
  <c r="C5" i="1" l="1"/>
  <c r="D5" i="1" s="1"/>
  <c r="F5" i="1" s="1"/>
  <c r="B6" i="1" s="1"/>
  <c r="C6" i="1" l="1"/>
  <c r="D6" i="1" s="1"/>
  <c r="F6" i="1" s="1"/>
  <c r="B7" i="1" s="1"/>
  <c r="C7" i="1" l="1"/>
  <c r="D7" i="1" s="1"/>
  <c r="F7" i="1" s="1"/>
  <c r="B8" i="1" s="1"/>
  <c r="C8" i="1" l="1"/>
  <c r="D8" i="1" s="1"/>
  <c r="F8" i="1" s="1"/>
  <c r="B9" i="1" s="1"/>
  <c r="C9" i="1" l="1"/>
  <c r="D9" i="1" s="1"/>
  <c r="F9" i="1" s="1"/>
  <c r="B10" i="1" s="1"/>
  <c r="C10" i="1" l="1"/>
  <c r="D10" i="1" s="1"/>
  <c r="F10" i="1" s="1"/>
  <c r="B11" i="1" s="1"/>
  <c r="C11" i="1" l="1"/>
  <c r="D11" i="1" s="1"/>
  <c r="F11" i="1" s="1"/>
  <c r="B12" i="1" s="1"/>
  <c r="C12" i="1" l="1"/>
  <c r="D12" i="1" s="1"/>
  <c r="F12" i="1" s="1"/>
  <c r="B13" i="1" s="1"/>
  <c r="C13" i="1" l="1"/>
  <c r="D13" i="1" s="1"/>
  <c r="F13" i="1" l="1"/>
  <c r="B14" i="1" s="1"/>
  <c r="C14" i="1" l="1"/>
  <c r="D14" i="1" s="1"/>
  <c r="F14" i="1" s="1"/>
  <c r="B15" i="1" s="1"/>
  <c r="C15" i="1" l="1"/>
  <c r="D15" i="1" s="1"/>
  <c r="F15" i="1" s="1"/>
  <c r="B16" i="1" s="1"/>
  <c r="C16" i="1" l="1"/>
  <c r="D16" i="1" s="1"/>
  <c r="F16" i="1" s="1"/>
  <c r="B17" i="1" s="1"/>
  <c r="C17" i="1" l="1"/>
  <c r="D17" i="1" s="1"/>
  <c r="F17" i="1" s="1"/>
  <c r="B18" i="1" s="1"/>
  <c r="C18" i="1" l="1"/>
  <c r="D18" i="1" s="1"/>
  <c r="F18" i="1" s="1"/>
  <c r="B19" i="1" s="1"/>
  <c r="C19" i="1" l="1"/>
  <c r="D19" i="1" s="1"/>
  <c r="F19" i="1" s="1"/>
  <c r="B20" i="1" s="1"/>
  <c r="C20" i="1" l="1"/>
  <c r="D20" i="1" s="1"/>
  <c r="F20" i="1" s="1"/>
  <c r="B21" i="1" s="1"/>
  <c r="C21" i="1" l="1"/>
  <c r="D21" i="1" s="1"/>
  <c r="F21" i="1" s="1"/>
  <c r="B22" i="1" l="1"/>
  <c r="D22" i="1" l="1"/>
  <c r="F22" i="1" s="1"/>
  <c r="B23" i="1" s="1"/>
  <c r="C22" i="1"/>
  <c r="C23" i="1" l="1"/>
  <c r="D23" i="1" s="1"/>
  <c r="F23" i="1" l="1"/>
  <c r="B24" i="1" s="1"/>
  <c r="C24" i="1" l="1"/>
  <c r="D24" i="1" s="1"/>
  <c r="F24" i="1" s="1"/>
  <c r="B25" i="1" s="1"/>
  <c r="C25" i="1" l="1"/>
  <c r="D25" i="1" s="1"/>
  <c r="F25" i="1" s="1"/>
  <c r="B26" i="1" l="1"/>
  <c r="C26" i="1" l="1"/>
  <c r="D26" i="1" s="1"/>
  <c r="F26" i="1" s="1"/>
  <c r="B27" i="1" l="1"/>
  <c r="D27" i="1" l="1"/>
  <c r="F27" i="1" s="1"/>
  <c r="B28" i="1" s="1"/>
  <c r="C27" i="1"/>
  <c r="C28" i="1" l="1"/>
  <c r="D28" i="1" s="1"/>
  <c r="F28" i="1"/>
  <c r="B29" i="1" l="1"/>
  <c r="C29" i="1" l="1"/>
  <c r="D29" i="1"/>
  <c r="F29" i="1" s="1"/>
  <c r="B30" i="1" s="1"/>
  <c r="D30" i="1" l="1"/>
  <c r="F30" i="1" s="1"/>
  <c r="B31" i="1" s="1"/>
  <c r="C30" i="1"/>
  <c r="C31" i="1" l="1"/>
  <c r="D31" i="1" s="1"/>
  <c r="F31" i="1" l="1"/>
  <c r="B32" i="1" s="1"/>
  <c r="F32" i="1" l="1"/>
  <c r="C32" i="1"/>
  <c r="D32" i="1" s="1"/>
  <c r="B33" i="1" l="1"/>
  <c r="C33" i="1" l="1"/>
  <c r="D33" i="1" s="1"/>
  <c r="F33" i="1" s="1"/>
  <c r="B34" i="1" l="1"/>
  <c r="C34" i="1" l="1"/>
  <c r="D34" i="1" s="1"/>
  <c r="F34" i="1" s="1"/>
  <c r="B35" i="1" l="1"/>
  <c r="D35" i="1" l="1"/>
  <c r="F35" i="1" s="1"/>
  <c r="B36" i="1" s="1"/>
  <c r="C35" i="1"/>
  <c r="C36" i="1" l="1"/>
  <c r="D36" i="1" s="1"/>
  <c r="F36" i="1" l="1"/>
  <c r="B37" i="1" s="1"/>
  <c r="F37" i="1" l="1"/>
  <c r="C37" i="1"/>
  <c r="D37" i="1" s="1"/>
  <c r="D39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<sst xmlns="http://schemas.openxmlformats.org/spreadsheetml/2006/main" count="23" uniqueCount="22">
  <si>
    <t>Ay</t>
  </si>
  <si>
    <t>Ay Başı Tutar</t>
  </si>
  <si>
    <t>Faiz Geliri</t>
  </si>
  <si>
    <t>Kredi Ödemesi</t>
  </si>
  <si>
    <t>Ay Sonu Tutar</t>
  </si>
  <si>
    <t>Kredi Bilgileri</t>
  </si>
  <si>
    <t>Çekilen Tutar</t>
  </si>
  <si>
    <t>Başlangıç Tutarı</t>
  </si>
  <si>
    <t>Taksit Sayısı</t>
  </si>
  <si>
    <t>Aylık Faiz Oranı</t>
  </si>
  <si>
    <t>Aylık Taksit Tutarı</t>
  </si>
  <si>
    <t>Sigorta Primi</t>
  </si>
  <si>
    <t>Hesaba Yatan</t>
  </si>
  <si>
    <t>Aylık Net Faiz Oranı</t>
  </si>
  <si>
    <t>Vadeli Mevduat Faiz Oranları</t>
  </si>
  <si>
    <t>Yıllık Brüt Faiz Oranı</t>
  </si>
  <si>
    <t>Aylık Brüt Faiz Oranı</t>
  </si>
  <si>
    <t>Aylık Net Gelir</t>
  </si>
  <si>
    <t>Vadeli Mevduat Getirileri</t>
  </si>
  <si>
    <t>Kredi Faiz Oranları</t>
  </si>
  <si>
    <t>Hayat Sigortası Primi (10K)</t>
  </si>
  <si>
    <t>Toplam Geri Ödeme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</si>
</sst>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₺-41F]* #,##0.00_-;\-[$₺-41F]* #,##0.00_-;_-[$₺-41F]* &quot;-&quot;??_-;_-@_-"/>
    <numFmt numFmtId="165" formatCode="_-[$₺-41F]* #,##0_-;\-[$₺-41F]* #,##0_-;_-[$₺-41F]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4" fontId="0" fillId="0" borderId="0" xfId="0" applyNumberFormat="1"/>
    <xf numFmtId="10" fontId="0" fillId="0" borderId="0" xfId="0" applyNumberFormat="1"/>
    <xf numFmtId="4" fontId="0" fillId="2" borderId="3" xfId="0" applyNumberFormat="1" applyFill="1" applyBorder="1"/>
    <xf numFmtId="10" fontId="0" fillId="2" borderId="3" xfId="0" applyNumberFormat="1" applyFill="1" applyBorder="1"/>
    <xf numFmtId="9" fontId="0" fillId="0" borderId="0" xfId="0" applyNumberFormat="1"/>
    <xf numFmtId="3" fontId="0" fillId="2" borderId="3" xfId="0" applyNumberFormat="1" applyFill="1" applyBorder="1"/>
    <xf numFmtId="10" fontId="0" fillId="2" borderId="3" xfId="1" applyNumberFormat="1" applyFont="1" applyFill="1" applyBorder="1"/>
    <xf numFmtId="164" fontId="0" fillId="2" borderId="3" xfId="0" applyNumberFormat="1" applyFill="1" applyBorder="1"/>
    <xf numFmtId="165" fontId="0" fillId="0" borderId="0" xfId="0" applyNumberFormat="1"/>
    <xf numFmtId="165" fontId="0" fillId="2" borderId="3" xfId="0" applyNumberFormat="1" applyFill="1" applyBorder="1"/>
    <xf numFmtId="0" fontId="1" fillId="3" borderId="0" xfId="0" applyFont="1" applyFill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64" fontId="1" fillId="3" borderId="3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" fillId="3" borderId="3" xfId="0" applyFont="1" applyFill="1" applyBorder="1"/>
    <xf numFmtId="0" fontId="1" fillId="3" borderId="4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Takvim!$F$1</c:f>
              <c:strCache>
                <c:ptCount val="1"/>
                <c:pt idx="0">
                  <c:v>Ay Sonu Tutar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val>
            <c:numRef>
              <c:f>Takvim!$F$2:$F$37</c:f>
              <c:numCache>
                <c:formatCode>#,##0.00</c:formatCode>
                <c:ptCount val="36"/>
                <c:pt idx="0">
                  <c:v>107031.33338995896</c:v>
                </c:pt>
                <c:pt idx="1">
                  <c:v>102698.79969841785</c:v>
                </c:pt>
                <c:pt idx="2">
                  <c:v>98226.000228613091</c:v>
                </c:pt>
                <c:pt idx="3">
                  <c:v>93381.246250444732</c:v>
                </c:pt>
                <c:pt idx="4">
                  <c:v>88390.846855807686</c:v>
                </c:pt>
                <c:pt idx="5">
                  <c:v>83250.423579369366</c:v>
                </c:pt>
                <c:pt idx="6">
                  <c:v>77955.466328183116</c:v>
                </c:pt>
                <c:pt idx="7">
                  <c:v>72501.329424633077</c:v>
                </c:pt>
                <c:pt idx="8">
                  <c:v>66883.227530420074</c:v>
                </c:pt>
                <c:pt idx="9">
                  <c:v>61096.23144801228</c:v>
                </c:pt>
                <c:pt idx="10">
                  <c:v>55135.263795877101</c:v>
                </c:pt>
                <c:pt idx="11">
                  <c:v>48995.094553699608</c:v>
                </c:pt>
                <c:pt idx="12">
                  <c:v>42670.336473679155</c:v>
                </c:pt>
                <c:pt idx="13">
                  <c:v>36155.44035387809</c:v>
                </c:pt>
                <c:pt idx="14">
                  <c:v>29444.690169475503</c:v>
                </c:pt>
                <c:pt idx="15">
                  <c:v>22532.198057654317</c:v>
                </c:pt>
                <c:pt idx="16">
                  <c:v>15411.899151721507</c:v>
                </c:pt>
                <c:pt idx="17">
                  <c:v>8077.5462599290904</c:v>
                </c:pt>
                <c:pt idx="18">
                  <c:v>522.70438432716492</c:v>
                </c:pt>
                <c:pt idx="19">
                  <c:v>-7259.254925160044</c:v>
                </c:pt>
                <c:pt idx="20">
                  <c:v>-15056.928035201088</c:v>
                </c:pt>
                <c:pt idx="21">
                  <c:v>-22854.601145242133</c:v>
                </c:pt>
                <c:pt idx="22">
                  <c:v>-30652.274255283177</c:v>
                </c:pt>
                <c:pt idx="23">
                  <c:v>-38449.947365324224</c:v>
                </c:pt>
                <c:pt idx="24">
                  <c:v>-46247.620475365271</c:v>
                </c:pt>
                <c:pt idx="25">
                  <c:v>-54045.293585406318</c:v>
                </c:pt>
                <c:pt idx="26">
                  <c:v>-61842.966695447365</c:v>
                </c:pt>
                <c:pt idx="27">
                  <c:v>-69640.639805488405</c:v>
                </c:pt>
                <c:pt idx="28">
                  <c:v>-77438.312915529445</c:v>
                </c:pt>
                <c:pt idx="29">
                  <c:v>-85235.986025570484</c:v>
                </c:pt>
                <c:pt idx="30">
                  <c:v>-93033.659135611524</c:v>
                </c:pt>
                <c:pt idx="31">
                  <c:v>-100831.33224565256</c:v>
                </c:pt>
                <c:pt idx="32">
                  <c:v>-108629.0053556936</c:v>
                </c:pt>
                <c:pt idx="33">
                  <c:v>-116426.67846573464</c:v>
                </c:pt>
                <c:pt idx="34">
                  <c:v>-124224.35157577568</c:v>
                </c:pt>
                <c:pt idx="35">
                  <c:v>-132022.02468581672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E0-499E-8BCC-456635076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1184447"/>
        <c:axId val="952146927"/>
      </c:lineChart>
      <c:catAx>
        <c:axId val="741184447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952146927"/>
        <c:crosses val="autoZero"/>
        <c:auto val="1"/>
        <c:lblAlgn val="ctr"/>
        <c:lblOffset val="100"/>
        <c:noMultiLvlLbl val="0"/>
      </c:catAx>
      <c:valAx>
        <c:axId val="95214692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41184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588645</xdr:colOff>
      <xdr:row>30</xdr:row>
      <xdr:rowOff>36309</xdr:rowOff>
    </xdr:from>
    <xdr:to>
      <xdr:col>12</xdr:col>
      <xdr:colOff>200025</xdr:colOff>
      <xdr:row>34</xdr:row>
      <xdr:rowOff>54598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F7E344-3D62-0CFE-F9E2-43D86F72D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98845" y="5751309"/>
          <a:ext cx="3859530" cy="780289"/>
        </a:xfrm>
        <a:prstGeom prst="rect">
          <a:avLst/>
        </a:prstGeom>
      </xdr:spPr>
    </xdr:pic>
    <xdr:clientData/>
  </xdr:twoCellAnchor>
  <xdr:twoCellAnchor>
    <xdr:from>
      <xdr:col>6</xdr:col>
      <xdr:colOff>361950</xdr:colOff>
      <xdr:row>0</xdr:row>
      <xdr:rowOff>128587</xdr:rowOff>
    </xdr:from>
    <xdr:to>
      <xdr:col>17</xdr:col>
      <xdr:colOff>152400</xdr:colOff>
      <xdr:row>29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A64598C-ADEF-9E5F-927F-253E4FFEF6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BA5C6-5C89-4160-9F85-C408525952A7}">
  <dimension ref="A1:K37"/>
  <sheetViews>
    <sheetView zoomScale="200" zoomScaleNormal="200" workbookViewId="0">
      <selection activeCell="F2" sqref="F2:F4"/>
    </sheetView>
  </sheetViews>
  <sheetFormatPr defaultRowHeight="15" x14ac:dyDescent="0.25"/>
  <cols>
    <col min="1" max="1" width="19.140625" bestFit="1" customWidth="1"/>
    <col min="2" max="2" width="14.42578125" bestFit="1" customWidth="1"/>
    <col min="4" max="4" width="10" customWidth="1"/>
    <col min="5" max="5" width="16.28515625" customWidth="1"/>
    <col min="6" max="6" width="10.140625" bestFit="1" customWidth="1"/>
    <col min="7" max="7" width="10.42578125" customWidth="1"/>
    <col min="8" max="8" width="14.42578125" customWidth="1"/>
    <col min="10" max="10" width="11.140625" bestFit="1" customWidth="1"/>
  </cols>
  <sheetData>
    <row r="1" spans="1:10" x14ac:dyDescent="0.25">
      <c r="A1" s="12" t="s">
        <v>5</v>
      </c>
      <c r="B1" s="13"/>
      <c r="D1" s="12" t="s">
        <v>19</v>
      </c>
      <c r="E1" s="13"/>
      <c r="G1" s="12" t="s">
        <v>20</v>
      </c>
      <c r="H1" s="13"/>
    </row>
    <row r="2" spans="1:10" x14ac:dyDescent="0.25">
      <c r="A2" s="17" t="s">
        <v>6</v>
      </c>
      <c r="B2" s="8">
        <v>120000</v>
      </c>
      <c r="D2" s="6">
        <v>12</v>
      </c>
      <c r="E2" s="7">
        <v>4.7899999999999998E-2</v>
      </c>
      <c r="G2" s="6">
        <v>3</v>
      </c>
      <c r="H2" s="10">
        <v>75</v>
      </c>
    </row>
    <row r="3" spans="1:10" x14ac:dyDescent="0.25">
      <c r="A3" s="17" t="s">
        <v>8</v>
      </c>
      <c r="B3" s="6">
        <v>36</v>
      </c>
      <c r="D3" s="6">
        <v>24</v>
      </c>
      <c r="E3" s="7">
        <v>4.6399999999999997E-2</v>
      </c>
      <c r="G3" s="6">
        <v>4</v>
      </c>
      <c r="H3" s="10">
        <v>100</v>
      </c>
    </row>
    <row r="4" spans="1:10" x14ac:dyDescent="0.25">
      <c r="A4" s="17" t="s">
        <v>9</v>
      </c>
      <c r="B4" s="4">
        <f>_xlfn.XLOOKUP(B3,D2:D4,E2:E4,,1)</f>
        <v>4.2900000000000001E-2</v>
      </c>
      <c r="D4" s="6">
        <v>36</v>
      </c>
      <c r="E4" s="7">
        <v>4.2900000000000001E-2</v>
      </c>
      <c r="G4" s="6">
        <v>5</v>
      </c>
      <c r="H4" s="10">
        <v>123</v>
      </c>
      <c r="J4" s="9"/>
    </row>
    <row r="5" spans="1:10" x14ac:dyDescent="0.25">
      <c r="A5" s="17" t="s">
        <v>10</v>
      </c>
      <c r="B5" s="8">
        <f>-PMT(B4*1.3,B3,B2)</f>
        <v>7797.6731100410443</v>
      </c>
      <c r="G5" s="6">
        <v>6</v>
      </c>
      <c r="H5" s="10">
        <v>149</v>
      </c>
      <c r="J5" s="9"/>
    </row>
    <row r="6" spans="1:10" x14ac:dyDescent="0.25">
      <c r="A6" s="17" t="s">
        <v>11</v>
      </c>
      <c r="B6" s="8">
        <f>_xlfn.XLOOKUP(B3,G2:G35,H2:H35)*B2/10000</f>
        <v>8772</v>
      </c>
      <c r="G6" s="6">
        <v>7</v>
      </c>
      <c r="H6" s="10">
        <v>173</v>
      </c>
      <c r="J6" s="9"/>
    </row>
    <row r="7" spans="1:10" x14ac:dyDescent="0.25">
      <c r="A7" s="17" t="s">
        <v>12</v>
      </c>
      <c r="B7" s="8">
        <f>B2-B6</f>
        <v>111228</v>
      </c>
      <c r="G7" s="6">
        <v>8</v>
      </c>
      <c r="H7" s="10">
        <v>199</v>
      </c>
      <c r="J7" s="9"/>
    </row>
    <row r="8" spans="1:10" x14ac:dyDescent="0.25">
      <c r="A8" s="18" t="s">
        <v>21</v>
      </c>
      <c r="B8" s="8">
        <f>B5*B3+B6</f>
        <v>289488.23196147761</v>
      </c>
      <c r="G8" s="6">
        <v>9</v>
      </c>
      <c r="H8" s="10">
        <v>223</v>
      </c>
      <c r="J8" s="9"/>
    </row>
    <row r="9" spans="1:10" x14ac:dyDescent="0.25">
      <c r="G9" s="6">
        <v>10</v>
      </c>
      <c r="H9" s="10">
        <v>248</v>
      </c>
      <c r="J9" s="9"/>
    </row>
    <row r="10" spans="1:10" x14ac:dyDescent="0.25">
      <c r="G10" s="6">
        <v>11</v>
      </c>
      <c r="H10" s="10">
        <v>274</v>
      </c>
      <c r="J10" s="9"/>
    </row>
    <row r="11" spans="1:10" x14ac:dyDescent="0.25">
      <c r="G11" s="6">
        <v>12</v>
      </c>
      <c r="H11" s="10">
        <v>298</v>
      </c>
      <c r="J11" s="9"/>
    </row>
    <row r="12" spans="1:10" x14ac:dyDescent="0.25">
      <c r="G12" s="6">
        <v>13</v>
      </c>
      <c r="H12" s="10">
        <v>314</v>
      </c>
      <c r="J12" s="9"/>
    </row>
    <row r="13" spans="1:10" x14ac:dyDescent="0.25">
      <c r="G13" s="6">
        <v>14</v>
      </c>
      <c r="H13" s="10">
        <v>322</v>
      </c>
      <c r="J13" s="9"/>
    </row>
    <row r="14" spans="1:10" x14ac:dyDescent="0.25">
      <c r="G14" s="6">
        <v>15</v>
      </c>
      <c r="H14" s="10">
        <v>333</v>
      </c>
      <c r="J14" s="9"/>
    </row>
    <row r="15" spans="1:10" x14ac:dyDescent="0.25">
      <c r="G15" s="6">
        <v>16</v>
      </c>
      <c r="H15" s="10">
        <v>347</v>
      </c>
      <c r="J15" s="9"/>
    </row>
    <row r="16" spans="1:10" x14ac:dyDescent="0.25">
      <c r="G16" s="6">
        <v>17</v>
      </c>
      <c r="H16" s="10">
        <v>362</v>
      </c>
      <c r="J16" s="9"/>
    </row>
    <row r="17" spans="7:11" x14ac:dyDescent="0.25">
      <c r="G17" s="6">
        <v>18</v>
      </c>
      <c r="H17" s="10">
        <v>380</v>
      </c>
      <c r="J17" s="9"/>
    </row>
    <row r="18" spans="7:11" x14ac:dyDescent="0.25">
      <c r="G18" s="6">
        <v>19</v>
      </c>
      <c r="H18" s="10">
        <v>399</v>
      </c>
      <c r="J18" s="9"/>
    </row>
    <row r="19" spans="7:11" x14ac:dyDescent="0.25">
      <c r="G19" s="6">
        <v>20</v>
      </c>
      <c r="H19" s="10">
        <v>421</v>
      </c>
      <c r="J19" s="9"/>
    </row>
    <row r="20" spans="7:11" x14ac:dyDescent="0.25">
      <c r="G20" s="6">
        <v>21</v>
      </c>
      <c r="H20" s="10">
        <v>442</v>
      </c>
      <c r="J20" s="9"/>
    </row>
    <row r="21" spans="7:11" x14ac:dyDescent="0.25">
      <c r="G21" s="6">
        <v>22</v>
      </c>
      <c r="H21" s="10">
        <v>466</v>
      </c>
      <c r="J21" s="9"/>
    </row>
    <row r="22" spans="7:11" x14ac:dyDescent="0.25">
      <c r="G22" s="6">
        <v>23</v>
      </c>
      <c r="H22" s="10">
        <v>489</v>
      </c>
      <c r="J22" s="9"/>
    </row>
    <row r="23" spans="7:11" x14ac:dyDescent="0.25">
      <c r="G23" s="6">
        <v>24</v>
      </c>
      <c r="H23" s="10">
        <v>514</v>
      </c>
      <c r="J23" s="9"/>
    </row>
    <row r="24" spans="7:11" x14ac:dyDescent="0.25">
      <c r="G24" s="6">
        <v>25</v>
      </c>
      <c r="H24" s="10">
        <v>519</v>
      </c>
      <c r="J24" s="9"/>
    </row>
    <row r="25" spans="7:11" x14ac:dyDescent="0.25">
      <c r="G25" s="6">
        <v>26</v>
      </c>
      <c r="H25" s="10">
        <v>531</v>
      </c>
      <c r="J25" s="9"/>
    </row>
    <row r="26" spans="7:11" x14ac:dyDescent="0.25">
      <c r="G26" s="6">
        <v>27</v>
      </c>
      <c r="H26" s="10">
        <v>545</v>
      </c>
      <c r="J26" s="9"/>
      <c r="K26" s="9"/>
    </row>
    <row r="27" spans="7:11" x14ac:dyDescent="0.25">
      <c r="G27" s="6">
        <v>28</v>
      </c>
      <c r="H27" s="10">
        <v>561</v>
      </c>
      <c r="J27" s="9"/>
      <c r="K27" s="9"/>
    </row>
    <row r="28" spans="7:11" x14ac:dyDescent="0.25">
      <c r="G28" s="6">
        <v>29</v>
      </c>
      <c r="H28" s="10">
        <v>577</v>
      </c>
      <c r="J28" s="9"/>
      <c r="K28" s="9"/>
    </row>
    <row r="29" spans="7:11" x14ac:dyDescent="0.25">
      <c r="G29" s="6">
        <v>30</v>
      </c>
      <c r="H29" s="10">
        <v>596</v>
      </c>
      <c r="J29" s="9"/>
      <c r="K29" s="9"/>
    </row>
    <row r="30" spans="7:11" x14ac:dyDescent="0.25">
      <c r="G30" s="6">
        <v>31</v>
      </c>
      <c r="H30" s="10">
        <v>616</v>
      </c>
      <c r="J30" s="9"/>
      <c r="K30" s="9"/>
    </row>
    <row r="31" spans="7:11" x14ac:dyDescent="0.25">
      <c r="G31" s="6">
        <v>32</v>
      </c>
      <c r="H31" s="10">
        <v>638</v>
      </c>
      <c r="J31" s="9"/>
      <c r="K31" s="9"/>
    </row>
    <row r="32" spans="7:11" x14ac:dyDescent="0.25">
      <c r="G32" s="6">
        <v>33</v>
      </c>
      <c r="H32" s="10">
        <v>660</v>
      </c>
      <c r="J32" s="9"/>
      <c r="K32" s="9"/>
    </row>
    <row r="33" spans="7:11" x14ac:dyDescent="0.25">
      <c r="G33" s="6">
        <v>34</v>
      </c>
      <c r="H33" s="10">
        <v>683</v>
      </c>
      <c r="J33" s="9"/>
      <c r="K33" s="9"/>
    </row>
    <row r="34" spans="7:11" x14ac:dyDescent="0.25">
      <c r="G34" s="6">
        <v>35</v>
      </c>
      <c r="H34" s="10">
        <v>707</v>
      </c>
      <c r="J34" s="9"/>
      <c r="K34" s="9"/>
    </row>
    <row r="35" spans="7:11" x14ac:dyDescent="0.25">
      <c r="G35" s="6">
        <v>36</v>
      </c>
      <c r="H35" s="10">
        <v>731</v>
      </c>
      <c r="J35" s="9"/>
      <c r="K35" s="9"/>
    </row>
    <row r="36" spans="7:11" x14ac:dyDescent="0.25">
      <c r="J36" s="9"/>
      <c r="K36" s="9"/>
    </row>
    <row r="37" spans="7:11" x14ac:dyDescent="0.25">
      <c r="J37" s="9"/>
      <c r="K37" s="9"/>
    </row>
  </sheetData>
  <mergeCells count="3">
    <mergeCell ref="A1:B1"/>
    <mergeCell ref="D1:E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2B359-9ED9-45D8-80A3-34240DB6078C}">
  <dimension ref="A1:E6"/>
  <sheetViews>
    <sheetView zoomScale="320" zoomScaleNormal="320" workbookViewId="0">
      <selection activeCell="C5" sqref="C2:C5"/>
    </sheetView>
  </sheetViews>
  <sheetFormatPr defaultRowHeight="15" x14ac:dyDescent="0.25"/>
  <cols>
    <col min="1" max="1" width="19" bestFit="1" customWidth="1"/>
    <col min="2" max="2" width="11.42578125" customWidth="1"/>
    <col min="4" max="4" width="19" bestFit="1" customWidth="1"/>
    <col min="5" max="5" width="12.7109375" bestFit="1" customWidth="1"/>
  </cols>
  <sheetData>
    <row r="1" spans="1:5" ht="15.75" x14ac:dyDescent="0.25">
      <c r="A1" s="12" t="s">
        <v>14</v>
      </c>
      <c r="B1" s="13"/>
      <c r="D1" s="15" t="s">
        <v>18</v>
      </c>
      <c r="E1" s="16"/>
    </row>
    <row r="2" spans="1:5" x14ac:dyDescent="0.25">
      <c r="A2" s="14">
        <v>0</v>
      </c>
      <c r="B2" s="4">
        <v>0.39</v>
      </c>
      <c r="D2" s="17" t="s">
        <v>7</v>
      </c>
      <c r="E2" s="8">
        <f>Kredi!B7</f>
        <v>111228</v>
      </c>
    </row>
    <row r="3" spans="1:5" x14ac:dyDescent="0.25">
      <c r="A3" s="14">
        <v>100000</v>
      </c>
      <c r="B3" s="4">
        <v>0.42</v>
      </c>
      <c r="D3" s="17" t="s">
        <v>15</v>
      </c>
      <c r="E3" s="4">
        <f>_xlfn.XLOOKUP(E2,A2:A5,B2:B5,,-1)</f>
        <v>0.42</v>
      </c>
    </row>
    <row r="4" spans="1:5" x14ac:dyDescent="0.25">
      <c r="A4" s="14">
        <v>500000</v>
      </c>
      <c r="B4" s="4">
        <v>0.45</v>
      </c>
      <c r="D4" s="17" t="s">
        <v>16</v>
      </c>
      <c r="E4" s="7">
        <f>E3/12</f>
        <v>3.4999999999999996E-2</v>
      </c>
    </row>
    <row r="5" spans="1:5" x14ac:dyDescent="0.25">
      <c r="A5" s="14">
        <v>1000000</v>
      </c>
      <c r="B5" s="4">
        <v>0.48</v>
      </c>
      <c r="D5" s="17" t="s">
        <v>13</v>
      </c>
      <c r="E5" s="7">
        <f>E4*0.925</f>
        <v>3.2375000000000001E-2</v>
      </c>
    </row>
    <row r="6" spans="1:5" x14ac:dyDescent="0.25">
      <c r="D6" s="17" t="s">
        <v>17</v>
      </c>
      <c r="E6" s="3">
        <f>E2*E5</f>
        <v>3601.0065</v>
      </c>
    </row>
  </sheetData>
  <mergeCells count="2">
    <mergeCell ref="A1:B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workbookViewId="0">
      <selection activeCell="S15" sqref="S15"/>
    </sheetView>
  </sheetViews>
  <sheetFormatPr defaultRowHeight="15" x14ac:dyDescent="0.25"/>
  <cols>
    <col min="2" max="2" width="16.42578125" bestFit="1" customWidth="1"/>
    <col min="3" max="3" width="14.7109375" bestFit="1" customWidth="1"/>
    <col min="4" max="4" width="13.28515625" bestFit="1" customWidth="1"/>
    <col min="5" max="5" width="14.28515625" bestFit="1" customWidth="1"/>
    <col min="6" max="6" width="14.7109375" bestFit="1" customWidth="1"/>
    <col min="9" max="9" width="18" bestFit="1" customWidth="1"/>
  </cols>
  <sheetData>
    <row r="1" spans="1:10" x14ac:dyDescent="0.25">
      <c r="A1" s="11" t="s">
        <v>0</v>
      </c>
      <c r="B1" s="11" t="s">
        <v>1</v>
      </c>
      <c r="C1" s="11" t="s">
        <v>9</v>
      </c>
      <c r="D1" s="11" t="s">
        <v>2</v>
      </c>
      <c r="E1" s="11" t="s">
        <v>3</v>
      </c>
      <c r="F1" s="11" t="s">
        <v>4</v>
      </c>
    </row>
    <row r="2" spans="1:10" x14ac:dyDescent="0.25">
      <c r="A2" cm="1">
        <f t="array" ref="A2:A37">_xlfn.SEQUENCE(Kredi!B3)</f>
        <v>1</v>
      </c>
      <c r="B2" s="1">
        <f>Kredi!B7</f>
        <v>111228</v>
      </c>
      <c r="C2" s="2">
        <f>IF(A2&lt;&gt;"",IF(B2&gt;0,_xlfn.XLOOKUP(B2,'Vadeli Mevduat'!$A$2:$A$5,'Vadeli Mevduat'!$B$2:$B$5,,-1),0),"")</f>
        <v>0.42</v>
      </c>
      <c r="D2" s="1">
        <f>IF(A2&lt;&gt;"",(B2*C2/12)*0.925,"")</f>
        <v>3601.0065</v>
      </c>
      <c r="E2" s="1">
        <f>IF(A2&lt;&gt;"",Kredi!$B$5,"")</f>
        <v>7797.6731100410443</v>
      </c>
      <c r="F2" s="1">
        <f t="shared" ref="F2:F13" si="0">IF(A2&lt;&gt;"",B2+D2-E2,NA())</f>
        <v>107031.33338995896</v>
      </c>
      <c r="I2" s="2"/>
      <c r="J2" s="5"/>
    </row>
    <row r="3" spans="1:10" x14ac:dyDescent="0.25">
      <c r="A3">
        <v>2</v>
      </c>
      <c r="B3" s="1">
        <f>IF(A3&lt;&gt;"",F2,"")</f>
        <v>107031.33338995896</v>
      </c>
      <c r="C3" s="2">
        <f>IF(A3&lt;&gt;"",IF(B3&gt;0,_xlfn.XLOOKUP(B3,'Vadeli Mevduat'!$A$2:$A$5,'Vadeli Mevduat'!$B$2:$B$5,,-1),0),"")</f>
        <v>0.42</v>
      </c>
      <c r="D3" s="1">
        <f t="shared" ref="D3:D37" si="1">IF(A3&lt;&gt;"",(B3*C3/12)*0.925,"")</f>
        <v>3465.1394184999217</v>
      </c>
      <c r="E3" s="1">
        <f>IF(A3&lt;&gt;"",Kredi!$B$5,"")</f>
        <v>7797.6731100410443</v>
      </c>
      <c r="F3" s="1">
        <f t="shared" si="0"/>
        <v>102698.79969841785</v>
      </c>
    </row>
    <row r="4" spans="1:10" x14ac:dyDescent="0.25">
      <c r="A4">
        <v>3</v>
      </c>
      <c r="B4" s="1">
        <f t="shared" ref="B4:B37" si="2">IF(A4&lt;&gt;"",F3,"")</f>
        <v>102698.79969841785</v>
      </c>
      <c r="C4" s="2">
        <f>IF(A4&lt;&gt;"",IF(B4&gt;0,_xlfn.XLOOKUP(B4,'Vadeli Mevduat'!$A$2:$A$5,'Vadeli Mevduat'!$B$2:$B$5,,-1),0),"")</f>
        <v>0.42</v>
      </c>
      <c r="D4" s="1">
        <f t="shared" si="1"/>
        <v>3324.8736402362779</v>
      </c>
      <c r="E4" s="1">
        <f>IF(A4&lt;&gt;"",Kredi!$B$5,"")</f>
        <v>7797.6731100410443</v>
      </c>
      <c r="F4" s="1">
        <f t="shared" si="0"/>
        <v>98226.000228613091</v>
      </c>
    </row>
    <row r="5" spans="1:10" x14ac:dyDescent="0.25">
      <c r="A5">
        <v>4</v>
      </c>
      <c r="B5" s="1">
        <f t="shared" si="2"/>
        <v>98226.000228613091</v>
      </c>
      <c r="C5" s="2">
        <f>IF(A5&lt;&gt;"",IF(B5&gt;0,_xlfn.XLOOKUP(B5,'Vadeli Mevduat'!$A$2:$A$5,'Vadeli Mevduat'!$B$2:$B$5,,-1),0),"")</f>
        <v>0.39</v>
      </c>
      <c r="D5" s="1">
        <f t="shared" si="1"/>
        <v>2952.9191318726812</v>
      </c>
      <c r="E5" s="1">
        <f>IF(A5&lt;&gt;"",Kredi!$B$5,"")</f>
        <v>7797.6731100410443</v>
      </c>
      <c r="F5" s="1">
        <f t="shared" si="0"/>
        <v>93381.246250444732</v>
      </c>
    </row>
    <row r="6" spans="1:10" x14ac:dyDescent="0.25">
      <c r="A6">
        <v>5</v>
      </c>
      <c r="B6" s="1">
        <f t="shared" si="2"/>
        <v>93381.246250444732</v>
      </c>
      <c r="C6" s="2">
        <f>IF(A6&lt;&gt;"",IF(B6&gt;0,_xlfn.XLOOKUP(B6,'Vadeli Mevduat'!$A$2:$A$5,'Vadeli Mevduat'!$B$2:$B$5,,-1),0),"")</f>
        <v>0.39</v>
      </c>
      <c r="D6" s="1">
        <f t="shared" si="1"/>
        <v>2807.2737154039951</v>
      </c>
      <c r="E6" s="1">
        <f>IF(A6&lt;&gt;"",Kredi!$B$5,"")</f>
        <v>7797.6731100410443</v>
      </c>
      <c r="F6" s="1">
        <f t="shared" si="0"/>
        <v>88390.846855807686</v>
      </c>
    </row>
    <row r="7" spans="1:10" x14ac:dyDescent="0.25">
      <c r="A7">
        <v>6</v>
      </c>
      <c r="B7" s="1">
        <f t="shared" si="2"/>
        <v>88390.846855807686</v>
      </c>
      <c r="C7" s="2">
        <f>IF(A7&lt;&gt;"",IF(B7&gt;0,_xlfn.XLOOKUP(B7,'Vadeli Mevduat'!$A$2:$A$5,'Vadeli Mevduat'!$B$2:$B$5,,-1),0),"")</f>
        <v>0.39</v>
      </c>
      <c r="D7" s="1">
        <f t="shared" si="1"/>
        <v>2657.2498336027188</v>
      </c>
      <c r="E7" s="1">
        <f>IF(A7&lt;&gt;"",Kredi!$B$5,"")</f>
        <v>7797.6731100410443</v>
      </c>
      <c r="F7" s="1">
        <f t="shared" si="0"/>
        <v>83250.423579369366</v>
      </c>
    </row>
    <row r="8" spans="1:10" x14ac:dyDescent="0.25">
      <c r="A8">
        <v>7</v>
      </c>
      <c r="B8" s="1">
        <f t="shared" si="2"/>
        <v>83250.423579369366</v>
      </c>
      <c r="C8" s="2">
        <f>IF(A8&lt;&gt;"",IF(B8&gt;0,_xlfn.XLOOKUP(B8,'Vadeli Mevduat'!$A$2:$A$5,'Vadeli Mevduat'!$B$2:$B$5,,-1),0),"")</f>
        <v>0.39</v>
      </c>
      <c r="D8" s="1">
        <f t="shared" si="1"/>
        <v>2502.7158588547918</v>
      </c>
      <c r="E8" s="1">
        <f>IF(A8&lt;&gt;"",Kredi!$B$5,"")</f>
        <v>7797.6731100410443</v>
      </c>
      <c r="F8" s="1">
        <f t="shared" si="0"/>
        <v>77955.466328183116</v>
      </c>
    </row>
    <row r="9" spans="1:10" x14ac:dyDescent="0.25">
      <c r="A9">
        <v>8</v>
      </c>
      <c r="B9" s="1">
        <f t="shared" si="2"/>
        <v>77955.466328183116</v>
      </c>
      <c r="C9" s="2">
        <f>IF(A9&lt;&gt;"",IF(B9&gt;0,_xlfn.XLOOKUP(B9,'Vadeli Mevduat'!$A$2:$A$5,'Vadeli Mevduat'!$B$2:$B$5,,-1),0),"")</f>
        <v>0.39</v>
      </c>
      <c r="D9" s="1">
        <f t="shared" si="1"/>
        <v>2343.536206491005</v>
      </c>
      <c r="E9" s="1">
        <f>IF(A9&lt;&gt;"",Kredi!$B$5,"")</f>
        <v>7797.6731100410443</v>
      </c>
      <c r="F9" s="1">
        <f t="shared" si="0"/>
        <v>72501.329424633077</v>
      </c>
    </row>
    <row r="10" spans="1:10" x14ac:dyDescent="0.25">
      <c r="A10">
        <v>9</v>
      </c>
      <c r="B10" s="1">
        <f t="shared" si="2"/>
        <v>72501.329424633077</v>
      </c>
      <c r="C10" s="2">
        <f>IF(A10&lt;&gt;"",IF(B10&gt;0,_xlfn.XLOOKUP(B10,'Vadeli Mevduat'!$A$2:$A$5,'Vadeli Mevduat'!$B$2:$B$5,,-1),0),"")</f>
        <v>0.39</v>
      </c>
      <c r="D10" s="1">
        <f t="shared" si="1"/>
        <v>2179.5712158280321</v>
      </c>
      <c r="E10" s="1">
        <f>IF(A10&lt;&gt;"",Kredi!$B$5,"")</f>
        <v>7797.6731100410443</v>
      </c>
      <c r="F10" s="1">
        <f t="shared" si="0"/>
        <v>66883.227530420074</v>
      </c>
    </row>
    <row r="11" spans="1:10" x14ac:dyDescent="0.25">
      <c r="A11">
        <v>10</v>
      </c>
      <c r="B11" s="1">
        <f t="shared" si="2"/>
        <v>66883.227530420074</v>
      </c>
      <c r="C11" s="2">
        <f>IF(A11&lt;&gt;"",IF(B11&gt;0,_xlfn.XLOOKUP(B11,'Vadeli Mevduat'!$A$2:$A$5,'Vadeli Mevduat'!$B$2:$B$5,,-1),0),"")</f>
        <v>0.39</v>
      </c>
      <c r="D11" s="1">
        <f t="shared" si="1"/>
        <v>2010.6770276332536</v>
      </c>
      <c r="E11" s="1">
        <f>IF(A11&lt;&gt;"",Kredi!$B$5,"")</f>
        <v>7797.6731100410443</v>
      </c>
      <c r="F11" s="1">
        <f t="shared" si="0"/>
        <v>61096.23144801228</v>
      </c>
    </row>
    <row r="12" spans="1:10" x14ac:dyDescent="0.25">
      <c r="A12">
        <v>11</v>
      </c>
      <c r="B12" s="1">
        <f t="shared" si="2"/>
        <v>61096.23144801228</v>
      </c>
      <c r="C12" s="2">
        <f>IF(A12&lt;&gt;"",IF(B12&gt;0,_xlfn.XLOOKUP(B12,'Vadeli Mevduat'!$A$2:$A$5,'Vadeli Mevduat'!$B$2:$B$5,,-1),0),"")</f>
        <v>0.39</v>
      </c>
      <c r="D12" s="1">
        <f t="shared" si="1"/>
        <v>1836.7054579058695</v>
      </c>
      <c r="E12" s="1">
        <f>IF(A12&lt;&gt;"",Kredi!$B$5,"")</f>
        <v>7797.6731100410443</v>
      </c>
      <c r="F12" s="1">
        <f t="shared" si="0"/>
        <v>55135.263795877101</v>
      </c>
    </row>
    <row r="13" spans="1:10" x14ac:dyDescent="0.25">
      <c r="A13">
        <v>12</v>
      </c>
      <c r="B13" s="1">
        <f t="shared" si="2"/>
        <v>55135.263795877101</v>
      </c>
      <c r="C13" s="2">
        <f>IF(A13&lt;&gt;"",IF(B13&gt;0,_xlfn.XLOOKUP(B13,'Vadeli Mevduat'!$A$2:$A$5,'Vadeli Mevduat'!$B$2:$B$5,,-1),0),"")</f>
        <v>0.39</v>
      </c>
      <c r="D13" s="1">
        <f t="shared" si="1"/>
        <v>1657.5038678635553</v>
      </c>
      <c r="E13" s="1">
        <f>IF(A13&lt;&gt;"",Kredi!$B$5,"")</f>
        <v>7797.6731100410443</v>
      </c>
      <c r="F13" s="1">
        <f t="shared" si="0"/>
        <v>48995.094553699608</v>
      </c>
    </row>
    <row r="14" spans="1:10" x14ac:dyDescent="0.25">
      <c r="A14">
        <v>13</v>
      </c>
      <c r="B14" s="1">
        <f t="shared" si="2"/>
        <v>48995.094553699608</v>
      </c>
      <c r="C14" s="2">
        <f>IF(A14&lt;&gt;"",IF(B14&gt;0,_xlfn.XLOOKUP(B14,'Vadeli Mevduat'!$A$2:$A$5,'Vadeli Mevduat'!$B$2:$B$5,,-1),0),"")</f>
        <v>0.39</v>
      </c>
      <c r="D14" s="1">
        <f t="shared" si="1"/>
        <v>1472.9150300205947</v>
      </c>
      <c r="E14" s="1">
        <f>IF(A14&lt;&gt;"",Kredi!$B$5,"")</f>
        <v>7797.6731100410443</v>
      </c>
      <c r="F14" s="1">
        <f>IF(A14&lt;&gt;"",B14+D14-E14,NA())</f>
        <v>42670.336473679155</v>
      </c>
    </row>
    <row r="15" spans="1:10" x14ac:dyDescent="0.25">
      <c r="A15">
        <v>14</v>
      </c>
      <c r="B15" s="1">
        <f t="shared" si="2"/>
        <v>42670.336473679155</v>
      </c>
      <c r="C15" s="2">
        <f>IF(A15&lt;&gt;"",IF(B15&gt;0,_xlfn.XLOOKUP(B15,'Vadeli Mevduat'!$A$2:$A$5,'Vadeli Mevduat'!$B$2:$B$5,,-1),0),"")</f>
        <v>0.39</v>
      </c>
      <c r="D15" s="1">
        <f t="shared" si="1"/>
        <v>1282.7769902399796</v>
      </c>
      <c r="E15" s="1">
        <f>IF(A15&lt;&gt;"",Kredi!$B$5,"")</f>
        <v>7797.6731100410443</v>
      </c>
      <c r="F15" s="1">
        <f t="shared" ref="F15:F37" si="3">IF(A15&lt;&gt;"",B15+D15-E15,NA())</f>
        <v>36155.44035387809</v>
      </c>
    </row>
    <row r="16" spans="1:10" x14ac:dyDescent="0.25">
      <c r="A16">
        <v>15</v>
      </c>
      <c r="B16" s="1">
        <f t="shared" si="2"/>
        <v>36155.44035387809</v>
      </c>
      <c r="C16" s="2">
        <f>IF(A16&lt;&gt;"",IF(B16&gt;0,_xlfn.XLOOKUP(B16,'Vadeli Mevduat'!$A$2:$A$5,'Vadeli Mevduat'!$B$2:$B$5,,-1),0),"")</f>
        <v>0.39</v>
      </c>
      <c r="D16" s="1">
        <f t="shared" si="1"/>
        <v>1086.9229256384601</v>
      </c>
      <c r="E16" s="1">
        <f>IF(A16&lt;&gt;"",Kredi!$B$5,"")</f>
        <v>7797.6731100410443</v>
      </c>
      <c r="F16" s="1">
        <f t="shared" si="3"/>
        <v>29444.690169475503</v>
      </c>
    </row>
    <row r="17" spans="1:6" x14ac:dyDescent="0.25">
      <c r="A17">
        <v>16</v>
      </c>
      <c r="B17" s="1">
        <f t="shared" si="2"/>
        <v>29444.690169475503</v>
      </c>
      <c r="C17" s="2">
        <f>IF(A17&lt;&gt;"",IF(B17&gt;0,_xlfn.XLOOKUP(B17,'Vadeli Mevduat'!$A$2:$A$5,'Vadeli Mevduat'!$B$2:$B$5,,-1),0),"")</f>
        <v>0.39</v>
      </c>
      <c r="D17" s="1">
        <f t="shared" si="1"/>
        <v>885.18099821985732</v>
      </c>
      <c r="E17" s="1">
        <f>IF(A17&lt;&gt;"",Kredi!$B$5,"")</f>
        <v>7797.6731100410443</v>
      </c>
      <c r="F17" s="1">
        <f t="shared" si="3"/>
        <v>22532.198057654317</v>
      </c>
    </row>
    <row r="18" spans="1:6" x14ac:dyDescent="0.25">
      <c r="A18">
        <v>17</v>
      </c>
      <c r="B18" s="1">
        <f t="shared" si="2"/>
        <v>22532.198057654317</v>
      </c>
      <c r="C18" s="2">
        <f>IF(A18&lt;&gt;"",IF(B18&gt;0,_xlfn.XLOOKUP(B18,'Vadeli Mevduat'!$A$2:$A$5,'Vadeli Mevduat'!$B$2:$B$5,,-1),0),"")</f>
        <v>0.39</v>
      </c>
      <c r="D18" s="1">
        <f t="shared" si="1"/>
        <v>677.3742041082329</v>
      </c>
      <c r="E18" s="1">
        <f>IF(A18&lt;&gt;"",Kredi!$B$5,"")</f>
        <v>7797.6731100410443</v>
      </c>
      <c r="F18" s="1">
        <f t="shared" si="3"/>
        <v>15411.899151721507</v>
      </c>
    </row>
    <row r="19" spans="1:6" x14ac:dyDescent="0.25">
      <c r="A19">
        <v>18</v>
      </c>
      <c r="B19" s="1">
        <f t="shared" si="2"/>
        <v>15411.899151721507</v>
      </c>
      <c r="C19" s="2">
        <f>IF(A19&lt;&gt;"",IF(B19&gt;0,_xlfn.XLOOKUP(B19,'Vadeli Mevduat'!$A$2:$A$5,'Vadeli Mevduat'!$B$2:$B$5,,-1),0),"")</f>
        <v>0.39</v>
      </c>
      <c r="D19" s="1">
        <f t="shared" si="1"/>
        <v>463.32021824862784</v>
      </c>
      <c r="E19" s="1">
        <f>IF(A19&lt;&gt;"",Kredi!$B$5,"")</f>
        <v>7797.6731100410443</v>
      </c>
      <c r="F19" s="1">
        <f t="shared" si="3"/>
        <v>8077.5462599290904</v>
      </c>
    </row>
    <row r="20" spans="1:6" x14ac:dyDescent="0.25">
      <c r="A20">
        <v>19</v>
      </c>
      <c r="B20" s="1">
        <f t="shared" si="2"/>
        <v>8077.5462599290904</v>
      </c>
      <c r="C20" s="2">
        <f>IF(A20&lt;&gt;"",IF(B20&gt;0,_xlfn.XLOOKUP(B20,'Vadeli Mevduat'!$A$2:$A$5,'Vadeli Mevduat'!$B$2:$B$5,,-1),0),"")</f>
        <v>0.39</v>
      </c>
      <c r="D20" s="1">
        <f t="shared" si="1"/>
        <v>242.8312344391183</v>
      </c>
      <c r="E20" s="1">
        <f>IF(A20&lt;&gt;"",Kredi!$B$5,"")</f>
        <v>7797.6731100410443</v>
      </c>
      <c r="F20" s="1">
        <f t="shared" si="3"/>
        <v>522.70438432716492</v>
      </c>
    </row>
    <row r="21" spans="1:6" x14ac:dyDescent="0.25">
      <c r="A21">
        <v>20</v>
      </c>
      <c r="B21" s="1">
        <f t="shared" si="2"/>
        <v>522.70438432716492</v>
      </c>
      <c r="C21" s="2">
        <f>IF(A21&lt;&gt;"",IF(B21&gt;0,_xlfn.XLOOKUP(B21,'Vadeli Mevduat'!$A$2:$A$5,'Vadeli Mevduat'!$B$2:$B$5,,-1),0),"")</f>
        <v>0.39</v>
      </c>
      <c r="D21" s="1">
        <f t="shared" si="1"/>
        <v>15.713800553835396</v>
      </c>
      <c r="E21" s="1">
        <f>IF(A21&lt;&gt;"",Kredi!$B$5,"")</f>
        <v>7797.6731100410443</v>
      </c>
      <c r="F21" s="1">
        <f t="shared" si="3"/>
        <v>-7259.254925160044</v>
      </c>
    </row>
    <row r="22" spans="1:6" x14ac:dyDescent="0.25">
      <c r="A22">
        <v>21</v>
      </c>
      <c r="B22" s="1">
        <f t="shared" si="2"/>
        <v>-7259.254925160044</v>
      </c>
      <c r="C22" s="2">
        <f>IF(A22&lt;&gt;"",IF(B22&gt;0,_xlfn.XLOOKUP(B22,'Vadeli Mevduat'!$A$2:$A$5,'Vadeli Mevduat'!$B$2:$B$5,,-1),0),"")</f>
        <v>0</v>
      </c>
      <c r="D22" s="1">
        <f t="shared" si="1"/>
        <v>0</v>
      </c>
      <c r="E22" s="1">
        <f>IF(A22&lt;&gt;"",Kredi!$B$5,"")</f>
        <v>7797.6731100410443</v>
      </c>
      <c r="F22" s="1">
        <f t="shared" si="3"/>
        <v>-15056.928035201088</v>
      </c>
    </row>
    <row r="23" spans="1:6" x14ac:dyDescent="0.25">
      <c r="A23">
        <v>22</v>
      </c>
      <c r="B23" s="1">
        <f t="shared" si="2"/>
        <v>-15056.928035201088</v>
      </c>
      <c r="C23" s="2">
        <f>IF(A23&lt;&gt;"",IF(B23&gt;0,_xlfn.XLOOKUP(B23,'Vadeli Mevduat'!$A$2:$A$5,'Vadeli Mevduat'!$B$2:$B$5,,-1),0),"")</f>
        <v>0</v>
      </c>
      <c r="D23" s="1">
        <f t="shared" si="1"/>
        <v>0</v>
      </c>
      <c r="E23" s="1">
        <f>IF(A23&lt;&gt;"",Kredi!$B$5,"")</f>
        <v>7797.6731100410443</v>
      </c>
      <c r="F23" s="1">
        <f t="shared" si="3"/>
        <v>-22854.601145242133</v>
      </c>
    </row>
    <row r="24" spans="1:6" x14ac:dyDescent="0.25">
      <c r="A24">
        <v>23</v>
      </c>
      <c r="B24" s="1">
        <f t="shared" si="2"/>
        <v>-22854.601145242133</v>
      </c>
      <c r="C24" s="2">
        <f>IF(A24&lt;&gt;"",IF(B24&gt;0,_xlfn.XLOOKUP(B24,'Vadeli Mevduat'!$A$2:$A$5,'Vadeli Mevduat'!$B$2:$B$5,,-1),0),"")</f>
        <v>0</v>
      </c>
      <c r="D24" s="1">
        <f t="shared" si="1"/>
        <v>0</v>
      </c>
      <c r="E24" s="1">
        <f>IF(A24&lt;&gt;"",Kredi!$B$5,"")</f>
        <v>7797.6731100410443</v>
      </c>
      <c r="F24" s="1">
        <f t="shared" si="3"/>
        <v>-30652.274255283177</v>
      </c>
    </row>
    <row r="25" spans="1:6" x14ac:dyDescent="0.25">
      <c r="A25">
        <v>24</v>
      </c>
      <c r="B25" s="1">
        <f t="shared" si="2"/>
        <v>-30652.274255283177</v>
      </c>
      <c r="C25" s="2">
        <f>IF(A25&lt;&gt;"",IF(B25&gt;0,_xlfn.XLOOKUP(B25,'Vadeli Mevduat'!$A$2:$A$5,'Vadeli Mevduat'!$B$2:$B$5,,-1),0),"")</f>
        <v>0</v>
      </c>
      <c r="D25" s="1">
        <f t="shared" si="1"/>
        <v>0</v>
      </c>
      <c r="E25" s="1">
        <f>IF(A25&lt;&gt;"",Kredi!$B$5,"")</f>
        <v>7797.6731100410443</v>
      </c>
      <c r="F25" s="1">
        <f t="shared" si="3"/>
        <v>-38449.947365324224</v>
      </c>
    </row>
    <row r="26" spans="1:6" x14ac:dyDescent="0.25">
      <c r="A26">
        <v>25</v>
      </c>
      <c r="B26" s="1">
        <f t="shared" si="2"/>
        <v>-38449.947365324224</v>
      </c>
      <c r="C26" s="2">
        <f>IF(A26&lt;&gt;"",IF(B26&gt;0,_xlfn.XLOOKUP(B26,'Vadeli Mevduat'!$A$2:$A$5,'Vadeli Mevduat'!$B$2:$B$5,,-1),0),"")</f>
        <v>0</v>
      </c>
      <c r="D26" s="1">
        <f t="shared" si="1"/>
        <v>0</v>
      </c>
      <c r="E26" s="1">
        <f>IF(A26&lt;&gt;"",Kredi!$B$5,"")</f>
        <v>7797.6731100410443</v>
      </c>
      <c r="F26" s="1">
        <f t="shared" si="3"/>
        <v>-46247.620475365271</v>
      </c>
    </row>
    <row r="27" spans="1:6" x14ac:dyDescent="0.25">
      <c r="A27">
        <v>26</v>
      </c>
      <c r="B27" s="1">
        <f t="shared" si="2"/>
        <v>-46247.620475365271</v>
      </c>
      <c r="C27" s="2">
        <f>IF(A27&lt;&gt;"",IF(B27&gt;0,_xlfn.XLOOKUP(B27,'Vadeli Mevduat'!$A$2:$A$5,'Vadeli Mevduat'!$B$2:$B$5,,-1),0),"")</f>
        <v>0</v>
      </c>
      <c r="D27" s="1">
        <f t="shared" si="1"/>
        <v>0</v>
      </c>
      <c r="E27" s="1">
        <f>IF(A27&lt;&gt;"",Kredi!$B$5,"")</f>
        <v>7797.6731100410443</v>
      </c>
      <c r="F27" s="1">
        <f t="shared" si="3"/>
        <v>-54045.293585406318</v>
      </c>
    </row>
    <row r="28" spans="1:6" x14ac:dyDescent="0.25">
      <c r="A28">
        <v>27</v>
      </c>
      <c r="B28" s="1">
        <f t="shared" si="2"/>
        <v>-54045.293585406318</v>
      </c>
      <c r="C28" s="2">
        <f>IF(A28&lt;&gt;"",IF(B28&gt;0,_xlfn.XLOOKUP(B28,'Vadeli Mevduat'!$A$2:$A$5,'Vadeli Mevduat'!$B$2:$B$5,,-1),0),"")</f>
        <v>0</v>
      </c>
      <c r="D28" s="1">
        <f t="shared" si="1"/>
        <v>0</v>
      </c>
      <c r="E28" s="1">
        <f>IF(A28&lt;&gt;"",Kredi!$B$5,"")</f>
        <v>7797.6731100410443</v>
      </c>
      <c r="F28" s="1">
        <f t="shared" si="3"/>
        <v>-61842.966695447365</v>
      </c>
    </row>
    <row r="29" spans="1:6" x14ac:dyDescent="0.25">
      <c r="A29">
        <v>28</v>
      </c>
      <c r="B29" s="1">
        <f t="shared" si="2"/>
        <v>-61842.966695447365</v>
      </c>
      <c r="C29" s="2">
        <f>IF(A29&lt;&gt;"",IF(B29&gt;0,_xlfn.XLOOKUP(B29,'Vadeli Mevduat'!$A$2:$A$5,'Vadeli Mevduat'!$B$2:$B$5,,-1),0),"")</f>
        <v>0</v>
      </c>
      <c r="D29" s="1">
        <f t="shared" si="1"/>
        <v>0</v>
      </c>
      <c r="E29" s="1">
        <f>IF(A29&lt;&gt;"",Kredi!$B$5,"")</f>
        <v>7797.6731100410443</v>
      </c>
      <c r="F29" s="1">
        <f t="shared" si="3"/>
        <v>-69640.639805488405</v>
      </c>
    </row>
    <row r="30" spans="1:6" x14ac:dyDescent="0.25">
      <c r="A30">
        <v>29</v>
      </c>
      <c r="B30" s="1">
        <f t="shared" si="2"/>
        <v>-69640.639805488405</v>
      </c>
      <c r="C30" s="2">
        <f>IF(A30&lt;&gt;"",IF(B30&gt;0,_xlfn.XLOOKUP(B30,'Vadeli Mevduat'!$A$2:$A$5,'Vadeli Mevduat'!$B$2:$B$5,,-1),0),"")</f>
        <v>0</v>
      </c>
      <c r="D30" s="1">
        <f t="shared" si="1"/>
        <v>0</v>
      </c>
      <c r="E30" s="1">
        <f>IF(A30&lt;&gt;"",Kredi!$B$5,"")</f>
        <v>7797.6731100410443</v>
      </c>
      <c r="F30" s="1">
        <f t="shared" si="3"/>
        <v>-77438.312915529445</v>
      </c>
    </row>
    <row r="31" spans="1:6" x14ac:dyDescent="0.25">
      <c r="A31">
        <v>30</v>
      </c>
      <c r="B31" s="1">
        <f t="shared" si="2"/>
        <v>-77438.312915529445</v>
      </c>
      <c r="C31" s="2">
        <f>IF(A31&lt;&gt;"",IF(B31&gt;0,_xlfn.XLOOKUP(B31,'Vadeli Mevduat'!$A$2:$A$5,'Vadeli Mevduat'!$B$2:$B$5,,-1),0),"")</f>
        <v>0</v>
      </c>
      <c r="D31" s="1">
        <f t="shared" si="1"/>
        <v>0</v>
      </c>
      <c r="E31" s="1">
        <f>IF(A31&lt;&gt;"",Kredi!$B$5,"")</f>
        <v>7797.6731100410443</v>
      </c>
      <c r="F31" s="1">
        <f t="shared" si="3"/>
        <v>-85235.986025570484</v>
      </c>
    </row>
    <row r="32" spans="1:6" x14ac:dyDescent="0.25">
      <c r="A32">
        <v>31</v>
      </c>
      <c r="B32" s="1">
        <f t="shared" si="2"/>
        <v>-85235.986025570484</v>
      </c>
      <c r="C32" s="2">
        <f>IF(A32&lt;&gt;"",IF(B32&gt;0,_xlfn.XLOOKUP(B32,'Vadeli Mevduat'!$A$2:$A$5,'Vadeli Mevduat'!$B$2:$B$5,,-1),0),"")</f>
        <v>0</v>
      </c>
      <c r="D32" s="1">
        <f t="shared" si="1"/>
        <v>0</v>
      </c>
      <c r="E32" s="1">
        <f>IF(A32&lt;&gt;"",Kredi!$B$5,"")</f>
        <v>7797.6731100410443</v>
      </c>
      <c r="F32" s="1">
        <f t="shared" si="3"/>
        <v>-93033.659135611524</v>
      </c>
    </row>
    <row r="33" spans="1:6" x14ac:dyDescent="0.25">
      <c r="A33">
        <v>32</v>
      </c>
      <c r="B33" s="1">
        <f t="shared" si="2"/>
        <v>-93033.659135611524</v>
      </c>
      <c r="C33" s="2">
        <f>IF(A33&lt;&gt;"",IF(B33&gt;0,_xlfn.XLOOKUP(B33,'Vadeli Mevduat'!$A$2:$A$5,'Vadeli Mevduat'!$B$2:$B$5,,-1),0),"")</f>
        <v>0</v>
      </c>
      <c r="D33" s="1">
        <f t="shared" si="1"/>
        <v>0</v>
      </c>
      <c r="E33" s="1">
        <f>IF(A33&lt;&gt;"",Kredi!$B$5,"")</f>
        <v>7797.6731100410443</v>
      </c>
      <c r="F33" s="1">
        <f t="shared" si="3"/>
        <v>-100831.33224565256</v>
      </c>
    </row>
    <row r="34" spans="1:6" x14ac:dyDescent="0.25">
      <c r="A34">
        <v>33</v>
      </c>
      <c r="B34" s="1">
        <f t="shared" si="2"/>
        <v>-100831.33224565256</v>
      </c>
      <c r="C34" s="2">
        <f>IF(A34&lt;&gt;"",IF(B34&gt;0,_xlfn.XLOOKUP(B34,'Vadeli Mevduat'!$A$2:$A$5,'Vadeli Mevduat'!$B$2:$B$5,,-1),0),"")</f>
        <v>0</v>
      </c>
      <c r="D34" s="1">
        <f t="shared" si="1"/>
        <v>0</v>
      </c>
      <c r="E34" s="1">
        <f>IF(A34&lt;&gt;"",Kredi!$B$5,"")</f>
        <v>7797.6731100410443</v>
      </c>
      <c r="F34" s="1">
        <f t="shared" si="3"/>
        <v>-108629.0053556936</v>
      </c>
    </row>
    <row r="35" spans="1:6" x14ac:dyDescent="0.25">
      <c r="A35">
        <v>34</v>
      </c>
      <c r="B35" s="1">
        <f t="shared" si="2"/>
        <v>-108629.0053556936</v>
      </c>
      <c r="C35" s="2">
        <f>IF(A35&lt;&gt;"",IF(B35&gt;0,_xlfn.XLOOKUP(B35,'Vadeli Mevduat'!$A$2:$A$5,'Vadeli Mevduat'!$B$2:$B$5,,-1),0),"")</f>
        <v>0</v>
      </c>
      <c r="D35" s="1">
        <f t="shared" si="1"/>
        <v>0</v>
      </c>
      <c r="E35" s="1">
        <f>IF(A35&lt;&gt;"",Kredi!$B$5,"")</f>
        <v>7797.6731100410443</v>
      </c>
      <c r="F35" s="1">
        <f t="shared" si="3"/>
        <v>-116426.67846573464</v>
      </c>
    </row>
    <row r="36" spans="1:6" x14ac:dyDescent="0.25">
      <c r="A36">
        <v>35</v>
      </c>
      <c r="B36" s="1">
        <f t="shared" si="2"/>
        <v>-116426.67846573464</v>
      </c>
      <c r="C36" s="2">
        <f>IF(A36&lt;&gt;"",IF(B36&gt;0,_xlfn.XLOOKUP(B36,'Vadeli Mevduat'!$A$2:$A$5,'Vadeli Mevduat'!$B$2:$B$5,,-1),0),"")</f>
        <v>0</v>
      </c>
      <c r="D36" s="1">
        <f t="shared" si="1"/>
        <v>0</v>
      </c>
      <c r="E36" s="1">
        <f>IF(A36&lt;&gt;"",Kredi!$B$5,"")</f>
        <v>7797.6731100410443</v>
      </c>
      <c r="F36" s="1">
        <f t="shared" si="3"/>
        <v>-124224.35157577568</v>
      </c>
    </row>
    <row r="37" spans="1:6" x14ac:dyDescent="0.25">
      <c r="A37">
        <v>36</v>
      </c>
      <c r="B37" s="1">
        <f t="shared" si="2"/>
        <v>-124224.35157577568</v>
      </c>
      <c r="C37" s="2">
        <f>IF(A37&lt;&gt;"",IF(B37&gt;0,_xlfn.XLOOKUP(B37,'Vadeli Mevduat'!$A$2:$A$5,'Vadeli Mevduat'!$B$2:$B$5,,-1),0),"")</f>
        <v>0</v>
      </c>
      <c r="D37" s="1">
        <f t="shared" si="1"/>
        <v>0</v>
      </c>
      <c r="E37" s="1">
        <f>IF(A37&lt;&gt;"",Kredi!$B$5,"")</f>
        <v>7797.6731100410443</v>
      </c>
      <c r="F37" s="1">
        <f t="shared" si="3"/>
        <v>-132022.02468581672</v>
      </c>
    </row>
    <row r="39" spans="1:6" x14ac:dyDescent="0.25">
      <c r="D39" s="1">
        <f>SUM(D2:D37)</f>
        <v>37466.207275660796</v>
      </c>
      <c r="E39" s="1">
        <f>SUM(E2:E37)+Kredi!B6</f>
        <v>289488.23196147755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Kredi</vt:lpstr>
      <vt:lpstr>Vadeli Mevduat</vt:lpstr>
      <vt:lpstr>Takvim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2024-10-22T08:11:34Z</dcterms:modified>
</cp:coreProperties>
</file>