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74 ertelemeli vs ertelemesiz kredi\"/>
    </mc:Choice>
  </mc:AlternateContent>
  <xr:revisionPtr revIDLastSave="0" documentId="13_ncr:1_{FB43E059-55AB-4033-B87A-07846424D748}" xr6:coauthVersionLast="47" xr6:coauthVersionMax="47" xr10:uidLastSave="{00000000-0000-0000-0000-000000000000}"/>
  <bookViews>
    <workbookView xWindow="-105" yWindow="0" windowWidth="27855" windowHeight="15585" activeTab="1" xr2:uid="{00000000-000D-0000-FFFF-FFFF00000000}"/>
  </bookViews>
  <sheets>
    <sheet name="1" sheetId="2" r:id="rId1"/>
    <sheet name="Krediler" sheetId="3" r:id="rId2"/>
  </sheets>
  <definedNames>
    <definedName name="solver_adj" localSheetId="0" hidden="1">'1'!$B$4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'1'!$M$14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9" i="3" l="1"/>
  <c r="L17" i="3"/>
  <c r="P29" i="3"/>
  <c r="Q28" i="3"/>
  <c r="O28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4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3" i="3"/>
  <c r="I6" i="3"/>
  <c r="L18" i="3"/>
  <c r="J8" i="3"/>
  <c r="J6" i="3"/>
  <c r="L5" i="3"/>
  <c r="L6" i="3"/>
  <c r="L7" i="3"/>
  <c r="L8" i="3"/>
  <c r="L9" i="3"/>
  <c r="L10" i="3"/>
  <c r="L11" i="3"/>
  <c r="L12" i="3"/>
  <c r="L13" i="3"/>
  <c r="L14" i="3"/>
  <c r="L15" i="3"/>
  <c r="L4" i="3"/>
  <c r="K16" i="3"/>
  <c r="K5" i="3"/>
  <c r="K6" i="3"/>
  <c r="K7" i="3"/>
  <c r="K8" i="3"/>
  <c r="K9" i="3"/>
  <c r="K10" i="3"/>
  <c r="K11" i="3"/>
  <c r="K12" i="3"/>
  <c r="K13" i="3"/>
  <c r="K14" i="3"/>
  <c r="K15" i="3"/>
  <c r="K4" i="3"/>
  <c r="I4" i="3"/>
  <c r="I5" i="3"/>
  <c r="J5" i="3" s="1"/>
  <c r="I7" i="3"/>
  <c r="I8" i="3"/>
  <c r="I9" i="3"/>
  <c r="J9" i="3" s="1"/>
  <c r="I10" i="3"/>
  <c r="J10" i="3" s="1"/>
  <c r="I11" i="3"/>
  <c r="J11" i="3" s="1"/>
  <c r="I12" i="3"/>
  <c r="J12" i="3" s="1"/>
  <c r="I13" i="3"/>
  <c r="J13" i="3" s="1"/>
  <c r="I14" i="3"/>
  <c r="J14" i="3" s="1"/>
  <c r="I15" i="3"/>
  <c r="J15" i="3" s="1"/>
  <c r="I3" i="3"/>
  <c r="I16" i="3" s="1"/>
  <c r="F14" i="3"/>
  <c r="F5" i="3"/>
  <c r="E2" i="2" a="1"/>
  <c r="C5" i="2"/>
  <c r="M2" i="2"/>
  <c r="L16" i="3" l="1"/>
  <c r="P28" i="3"/>
  <c r="R28" i="3"/>
  <c r="J17" i="3"/>
  <c r="J4" i="3"/>
  <c r="J18" i="3"/>
  <c r="J7" i="3"/>
  <c r="G15" i="2"/>
  <c r="G16" i="2"/>
  <c r="G17" i="2"/>
  <c r="G18" i="2"/>
  <c r="G19" i="2"/>
  <c r="G20" i="2"/>
  <c r="G21" i="2"/>
  <c r="G22" i="2"/>
  <c r="G23" i="2"/>
  <c r="G24" i="2"/>
  <c r="G25" i="2"/>
  <c r="G26" i="2"/>
  <c r="G3" i="2"/>
  <c r="I3" i="2" s="1"/>
  <c r="G4" i="2"/>
  <c r="G5" i="2"/>
  <c r="G6" i="2"/>
  <c r="G7" i="2"/>
  <c r="G8" i="2"/>
  <c r="G9" i="2"/>
  <c r="G10" i="2"/>
  <c r="G11" i="2"/>
  <c r="G12" i="2"/>
  <c r="G13" i="2"/>
  <c r="G14" i="2"/>
  <c r="F3" i="2"/>
  <c r="F4" i="2" s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N3" i="2"/>
  <c r="E2" i="2"/>
  <c r="J16" i="3" l="1"/>
  <c r="G2" i="2"/>
  <c r="I2" i="2" s="1"/>
  <c r="J3" i="2"/>
  <c r="H3" i="2"/>
  <c r="M3" i="2" s="1"/>
  <c r="N4" i="2" s="1"/>
  <c r="J2" i="2" l="1"/>
  <c r="H2" i="2"/>
  <c r="O4" i="2"/>
  <c r="I4" i="2" s="1"/>
  <c r="P3" i="2"/>
  <c r="L3" i="2"/>
  <c r="K3" i="2"/>
  <c r="L2" i="2" l="1"/>
  <c r="K2" i="2"/>
  <c r="P4" i="2"/>
  <c r="J4" i="2"/>
  <c r="H4" i="2"/>
  <c r="M4" i="2" s="1"/>
  <c r="N5" i="2" s="1"/>
  <c r="L4" i="2" l="1"/>
  <c r="K4" i="2"/>
  <c r="O5" i="2"/>
  <c r="I5" i="2" s="1"/>
  <c r="J5" i="2" l="1"/>
  <c r="H5" i="2"/>
  <c r="M5" i="2" s="1"/>
  <c r="N6" i="2" s="1"/>
  <c r="P5" i="2"/>
  <c r="L5" i="2" l="1"/>
  <c r="K5" i="2"/>
  <c r="O6" i="2"/>
  <c r="I6" i="2" s="1"/>
  <c r="P6" i="2" l="1"/>
  <c r="H6" i="2"/>
  <c r="M6" i="2" s="1"/>
  <c r="N7" i="2" s="1"/>
  <c r="O7" i="2" s="1"/>
  <c r="J6" i="2"/>
  <c r="K6" i="2" l="1"/>
  <c r="L6" i="2"/>
  <c r="I7" i="2"/>
  <c r="P7" i="2" s="1"/>
  <c r="J7" i="2" l="1"/>
  <c r="H7" i="2"/>
  <c r="M7" i="2" s="1"/>
  <c r="N8" i="2" s="1"/>
  <c r="O8" i="2" l="1"/>
  <c r="K7" i="2"/>
  <c r="L7" i="2"/>
  <c r="I8" i="2" l="1"/>
  <c r="P8" i="2" s="1"/>
  <c r="J8" i="2" l="1"/>
  <c r="H8" i="2"/>
  <c r="M8" i="2" s="1"/>
  <c r="N9" i="2" s="1"/>
  <c r="O9" i="2" l="1"/>
  <c r="I9" i="2" s="1"/>
  <c r="P9" i="2" s="1"/>
  <c r="K8" i="2"/>
  <c r="L8" i="2"/>
  <c r="J9" i="2" l="1"/>
  <c r="H9" i="2"/>
  <c r="M9" i="2" s="1"/>
  <c r="N10" i="2" s="1"/>
  <c r="O10" i="2" l="1"/>
  <c r="I10" i="2" s="1"/>
  <c r="P10" i="2" s="1"/>
  <c r="L9" i="2"/>
  <c r="K9" i="2"/>
  <c r="H10" i="2" l="1"/>
  <c r="M10" i="2" s="1"/>
  <c r="N11" i="2" s="1"/>
  <c r="J10" i="2"/>
  <c r="O11" i="2" l="1"/>
  <c r="I11" i="2" s="1"/>
  <c r="P11" i="2" s="1"/>
  <c r="L10" i="2"/>
  <c r="K10" i="2"/>
  <c r="H11" i="2" l="1"/>
  <c r="M11" i="2" s="1"/>
  <c r="N12" i="2" s="1"/>
  <c r="J11" i="2"/>
  <c r="O12" i="2" l="1"/>
  <c r="I12" i="2" s="1"/>
  <c r="P12" i="2" s="1"/>
  <c r="L11" i="2"/>
  <c r="K11" i="2"/>
  <c r="J12" i="2" l="1"/>
  <c r="H12" i="2"/>
  <c r="M12" i="2" s="1"/>
  <c r="N13" i="2" s="1"/>
  <c r="K12" i="2" l="1"/>
  <c r="L12" i="2"/>
  <c r="O13" i="2"/>
  <c r="I13" i="2" s="1"/>
  <c r="J13" i="2" l="1"/>
  <c r="P13" i="2"/>
  <c r="H13" i="2"/>
  <c r="M13" i="2" s="1"/>
  <c r="N14" i="2" s="1"/>
  <c r="K13" i="2" l="1"/>
  <c r="L13" i="2"/>
  <c r="O14" i="2"/>
  <c r="I14" i="2" s="1"/>
  <c r="J14" i="2" l="1"/>
  <c r="P14" i="2"/>
  <c r="H14" i="2"/>
  <c r="M14" i="2" s="1"/>
  <c r="N15" i="2" l="1"/>
  <c r="K14" i="2"/>
  <c r="L14" i="2"/>
  <c r="O15" i="2" l="1"/>
  <c r="I15" i="2" s="1"/>
  <c r="P15" i="2" l="1"/>
  <c r="J15" i="2"/>
  <c r="H15" i="2"/>
  <c r="M15" i="2" s="1"/>
  <c r="N16" i="2" s="1"/>
  <c r="L15" i="2" l="1"/>
  <c r="K15" i="2"/>
  <c r="O16" i="2"/>
  <c r="I16" i="2" s="1"/>
  <c r="P16" i="2" s="1"/>
  <c r="J16" i="2" l="1"/>
  <c r="H16" i="2"/>
  <c r="M16" i="2" s="1"/>
  <c r="N17" i="2" s="1"/>
  <c r="O17" i="2" s="1"/>
  <c r="I17" i="2" s="1"/>
  <c r="P17" i="2" s="1"/>
  <c r="L16" i="2" l="1"/>
  <c r="K16" i="2"/>
  <c r="H17" i="2"/>
  <c r="M17" i="2" s="1"/>
  <c r="J17" i="2"/>
  <c r="N18" i="2" l="1"/>
  <c r="L17" i="2"/>
  <c r="K17" i="2"/>
  <c r="O18" i="2" l="1"/>
  <c r="I18" i="2" s="1"/>
  <c r="P18" i="2" s="1"/>
  <c r="H18" i="2" l="1"/>
  <c r="M18" i="2" s="1"/>
  <c r="J18" i="2"/>
  <c r="N19" i="2" l="1"/>
  <c r="K18" i="2"/>
  <c r="L18" i="2"/>
  <c r="O19" i="2" l="1"/>
  <c r="I19" i="2" s="1"/>
  <c r="P19" i="2" s="1"/>
  <c r="H19" i="2" l="1"/>
  <c r="M19" i="2" s="1"/>
  <c r="J19" i="2"/>
  <c r="N20" i="2" l="1"/>
  <c r="L19" i="2"/>
  <c r="K19" i="2"/>
  <c r="O20" i="2" l="1"/>
  <c r="I20" i="2" s="1"/>
  <c r="P20" i="2" s="1"/>
  <c r="H20" i="2" l="1"/>
  <c r="M20" i="2" s="1"/>
  <c r="J20" i="2"/>
  <c r="N21" i="2" l="1"/>
  <c r="K20" i="2"/>
  <c r="L20" i="2"/>
  <c r="O21" i="2" l="1"/>
  <c r="I21" i="2" s="1"/>
  <c r="P21" i="2" s="1"/>
  <c r="H21" i="2" l="1"/>
  <c r="M21" i="2" s="1"/>
  <c r="J21" i="2"/>
  <c r="N22" i="2" l="1"/>
  <c r="K21" i="2"/>
  <c r="L21" i="2"/>
  <c r="O22" i="2" l="1"/>
  <c r="I22" i="2" s="1"/>
  <c r="P22" i="2" s="1"/>
  <c r="H22" i="2" l="1"/>
  <c r="M22" i="2" s="1"/>
  <c r="J22" i="2"/>
  <c r="N23" i="2" l="1"/>
  <c r="K22" i="2"/>
  <c r="L22" i="2"/>
  <c r="O23" i="2" l="1"/>
  <c r="I23" i="2" s="1"/>
  <c r="P23" i="2" s="1"/>
  <c r="J23" i="2" l="1"/>
  <c r="H23" i="2"/>
  <c r="M23" i="2" s="1"/>
  <c r="K23" i="2" l="1"/>
  <c r="L23" i="2"/>
  <c r="N24" i="2"/>
  <c r="O24" i="2" l="1"/>
  <c r="I24" i="2" s="1"/>
  <c r="P24" i="2" s="1"/>
  <c r="H24" i="2" l="1"/>
  <c r="M24" i="2" s="1"/>
  <c r="J24" i="2"/>
  <c r="N25" i="2" l="1"/>
  <c r="K24" i="2"/>
  <c r="L24" i="2"/>
  <c r="O25" i="2" l="1"/>
  <c r="I25" i="2" s="1"/>
  <c r="P25" i="2" s="1"/>
  <c r="J25" i="2" l="1"/>
  <c r="H25" i="2"/>
  <c r="M25" i="2" s="1"/>
  <c r="K25" i="2" l="1"/>
  <c r="L25" i="2"/>
  <c r="N26" i="2"/>
  <c r="O26" i="2" l="1"/>
  <c r="I26" i="2" s="1"/>
  <c r="P26" i="2" s="1"/>
  <c r="J26" i="2" l="1"/>
  <c r="H26" i="2"/>
  <c r="M26" i="2" s="1"/>
  <c r="L26" i="2" l="1"/>
  <c r="K26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<sst xmlns="http://schemas.openxmlformats.org/spreadsheetml/2006/main" count="67" uniqueCount="31">
  <si>
    <t>Kredi Tutarı</t>
  </si>
  <si>
    <t>Erteleme</t>
  </si>
  <si>
    <t>Ödeme</t>
  </si>
  <si>
    <t>Taksit</t>
  </si>
  <si>
    <t>Faiz Oranı</t>
  </si>
  <si>
    <t>Sigorta Primi</t>
  </si>
  <si>
    <t>Kredi tahsis</t>
  </si>
  <si>
    <t>Ay</t>
  </si>
  <si>
    <t>Tarih</t>
  </si>
  <si>
    <t>Anapara Ödemesi</t>
  </si>
  <si>
    <t>Faiz+Vergi</t>
  </si>
  <si>
    <t>Faiz Ödemesi</t>
  </si>
  <si>
    <t>KKDF</t>
  </si>
  <si>
    <t>BSMV</t>
  </si>
  <si>
    <t>Kalan Anapara</t>
  </si>
  <si>
    <t>Eklenen Faiz</t>
  </si>
  <si>
    <t>Ödeme Öncesi Kalan Faiz</t>
  </si>
  <si>
    <t>Ödeme Sonrası Kalan Faiz</t>
  </si>
  <si>
    <t>24 ay</t>
  </si>
  <si>
    <t>12 ay</t>
  </si>
  <si>
    <t>Ertelemeli</t>
  </si>
  <si>
    <t>Ertelemesiz</t>
  </si>
  <si>
    <t>Ertelemeli (BD)</t>
  </si>
  <si>
    <t>Ertelemesiz (BD)</t>
  </si>
  <si>
    <t>Toplam</t>
  </si>
  <si>
    <t>Aylık faiz oranı:</t>
  </si>
  <si>
    <t>12 AYLIK KREDİ</t>
  </si>
  <si>
    <t>24 AYLIK KREDİ</t>
  </si>
  <si>
    <t>ERTELEMELİ</t>
  </si>
  <si>
    <t>ERTELEMESİZ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</si>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</sst>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₺&quot;#,##0.00;[Red]\-&quot;₺&quot;#,##0.00"/>
    <numFmt numFmtId="164" formatCode="_-[$₺-41F]* #,##0.00_-;\-[$₺-41F]* #,##0.00_-;_-[$₺-41F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0" applyNumberFormat="1"/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0" fontId="0" fillId="0" borderId="0" xfId="0" applyNumberFormat="1"/>
    <xf numFmtId="8" fontId="3" fillId="0" borderId="0" xfId="0" applyNumberFormat="1" applyFont="1"/>
    <xf numFmtId="0" fontId="4" fillId="2" borderId="0" xfId="0" applyFont="1" applyFill="1"/>
    <xf numFmtId="10" fontId="0" fillId="0" borderId="1" xfId="1" applyNumberFormat="1" applyFont="1" applyBorder="1"/>
    <xf numFmtId="0" fontId="4" fillId="2" borderId="3" xfId="0" applyFont="1" applyFill="1" applyBorder="1"/>
    <xf numFmtId="0" fontId="4" fillId="2" borderId="4" xfId="0" applyFont="1" applyFill="1" applyBorder="1"/>
    <xf numFmtId="164" fontId="2" fillId="0" borderId="0" xfId="0" applyNumberFormat="1" applyFont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0" fillId="0" borderId="11" xfId="0" applyBorder="1"/>
    <xf numFmtId="164" fontId="0" fillId="0" borderId="11" xfId="0" applyNumberFormat="1" applyBorder="1"/>
    <xf numFmtId="0" fontId="4" fillId="2" borderId="12" xfId="0" applyFont="1" applyFill="1" applyBorder="1"/>
    <xf numFmtId="164" fontId="0" fillId="0" borderId="13" xfId="0" applyNumberFormat="1" applyBorder="1"/>
    <xf numFmtId="164" fontId="0" fillId="0" borderId="14" xfId="0" applyNumberFormat="1" applyBorder="1"/>
    <xf numFmtId="10" fontId="5" fillId="3" borderId="0" xfId="1" applyNumberFormat="1" applyFont="1" applyFill="1"/>
    <xf numFmtId="0" fontId="6" fillId="0" borderId="1" xfId="0" applyFont="1" applyBorder="1"/>
    <xf numFmtId="0" fontId="4" fillId="2" borderId="0" xfId="0" applyFont="1" applyFill="1" applyAlignment="1">
      <alignment horizontal="center" vertical="center" textRotation="9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0" borderId="0" xfId="0" applyFont="1"/>
    <xf numFmtId="164" fontId="0" fillId="4" borderId="1" xfId="0" applyNumberFormat="1" applyFill="1" applyBorder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164" fontId="2" fillId="5" borderId="0" xfId="0" applyNumberFormat="1" applyFont="1" applyFill="1"/>
    <xf numFmtId="164" fontId="2" fillId="6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74596-E4B6-4721-9BFF-C604DFBDF18C}">
  <dimension ref="A1:P26"/>
  <sheetViews>
    <sheetView workbookViewId="0">
      <selection activeCell="B35" sqref="B35"/>
    </sheetView>
  </sheetViews>
  <sheetFormatPr defaultRowHeight="15" x14ac:dyDescent="0.25"/>
  <cols>
    <col min="1" max="1" width="12.28515625" bestFit="1" customWidth="1"/>
    <col min="2" max="2" width="12.7109375" bestFit="1" customWidth="1"/>
    <col min="6" max="6" width="10.140625" bestFit="1" customWidth="1"/>
    <col min="7" max="7" width="11.7109375" bestFit="1" customWidth="1"/>
    <col min="8" max="9" width="16.85546875" bestFit="1" customWidth="1"/>
    <col min="10" max="11" width="12.85546875" bestFit="1" customWidth="1"/>
    <col min="12" max="12" width="10.7109375" bestFit="1" customWidth="1"/>
    <col min="13" max="14" width="13.7109375" bestFit="1" customWidth="1"/>
    <col min="15" max="16" width="23.5703125" bestFit="1" customWidth="1"/>
    <col min="17" max="17" width="24" bestFit="1" customWidth="1"/>
  </cols>
  <sheetData>
    <row r="1" spans="1:16" x14ac:dyDescent="0.25">
      <c r="A1" s="28" t="s">
        <v>0</v>
      </c>
      <c r="B1" s="1">
        <v>100000</v>
      </c>
      <c r="E1" s="2" t="s">
        <v>7</v>
      </c>
      <c r="F1" s="2" t="s">
        <v>8</v>
      </c>
      <c r="G1" s="2" t="s">
        <v>2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</row>
    <row r="2" spans="1:16" x14ac:dyDescent="0.25">
      <c r="A2" s="28" t="s">
        <v>1</v>
      </c>
      <c r="B2">
        <v>3</v>
      </c>
      <c r="E2" s="3" cm="1">
        <f t="array" ref="E2:E14">_xlfn.SEQUENCE(B3+B2+1,,0)</f>
        <v>0</v>
      </c>
      <c r="F2" s="4">
        <v>45650</v>
      </c>
      <c r="G2" s="5">
        <f>IF(E2&lt;&gt;"",IF(E2&lt;=$B$2,0,$B$4),"")</f>
        <v>0</v>
      </c>
      <c r="H2" s="5">
        <f t="shared" ref="H2:H26" si="0">IF(E2&lt;&gt;"",G2-I2,"")</f>
        <v>0</v>
      </c>
      <c r="I2" s="5">
        <f t="shared" ref="I2:I5" si="1">IF(E2&lt;&gt;"",IF(O2&gt;G2,G2,O2),"")</f>
        <v>0</v>
      </c>
      <c r="J2" s="5">
        <f t="shared" ref="J2:J5" si="2">IF(E2&lt;&gt;"",I2/1.3,"")</f>
        <v>0</v>
      </c>
      <c r="K2" s="5">
        <f t="shared" ref="K2:K5" si="3">IF(E2&lt;&gt;"",J2*0.15,"")</f>
        <v>0</v>
      </c>
      <c r="L2" s="5">
        <f t="shared" ref="L2:L5" si="4">IF(E2&lt;&gt;"",J2*0.15,"")</f>
        <v>0</v>
      </c>
      <c r="M2" s="5">
        <f>$B$1</f>
        <v>100000</v>
      </c>
      <c r="N2" s="5"/>
      <c r="O2" s="5"/>
      <c r="P2" s="5"/>
    </row>
    <row r="3" spans="1:16" x14ac:dyDescent="0.25">
      <c r="A3" s="28" t="s">
        <v>2</v>
      </c>
      <c r="B3">
        <v>9</v>
      </c>
      <c r="E3" s="3">
        <v>1</v>
      </c>
      <c r="F3" s="4">
        <f>IF(E3&lt;&gt;"",EDATE(F2,1),"")</f>
        <v>45681</v>
      </c>
      <c r="G3" s="5">
        <f t="shared" ref="G3:G26" si="5">IF(E3&lt;&gt;"",IF(E3&lt;=$B$2,0,$B$4),"")</f>
        <v>0</v>
      </c>
      <c r="H3" s="5">
        <f t="shared" si="0"/>
        <v>0</v>
      </c>
      <c r="I3" s="5">
        <f t="shared" si="1"/>
        <v>0</v>
      </c>
      <c r="J3" s="5">
        <f t="shared" si="2"/>
        <v>0</v>
      </c>
      <c r="K3" s="5">
        <f t="shared" si="3"/>
        <v>0</v>
      </c>
      <c r="L3" s="5">
        <f t="shared" si="4"/>
        <v>0</v>
      </c>
      <c r="M3" s="5">
        <f t="shared" ref="M3:M6" si="6">IF(E3&lt;&gt;"",M2-H3,"")</f>
        <v>100000</v>
      </c>
      <c r="N3" s="5">
        <f>IF(E3&lt;&gt;"",M2*$C$5,"")</f>
        <v>5798</v>
      </c>
      <c r="O3" s="5"/>
      <c r="P3" s="5">
        <f>IF(E3&lt;&gt;"",SUM($N$3:N3)-SUM($I$2:I3),"")</f>
        <v>5798</v>
      </c>
    </row>
    <row r="4" spans="1:16" x14ac:dyDescent="0.25">
      <c r="A4" s="28" t="s">
        <v>3</v>
      </c>
      <c r="B4" s="1">
        <v>16921.856952105187</v>
      </c>
      <c r="E4" s="3">
        <v>2</v>
      </c>
      <c r="F4" s="4">
        <f t="shared" ref="F4:F26" si="7">IF(E4&lt;&gt;"",EDATE(F3,1),"")</f>
        <v>45712</v>
      </c>
      <c r="G4" s="5">
        <f t="shared" si="5"/>
        <v>0</v>
      </c>
      <c r="H4" s="5">
        <f t="shared" si="0"/>
        <v>0</v>
      </c>
      <c r="I4" s="5">
        <f t="shared" si="1"/>
        <v>0</v>
      </c>
      <c r="J4" s="5">
        <f t="shared" si="2"/>
        <v>0</v>
      </c>
      <c r="K4" s="5">
        <f t="shared" si="3"/>
        <v>0</v>
      </c>
      <c r="L4" s="5">
        <f t="shared" si="4"/>
        <v>0</v>
      </c>
      <c r="M4" s="5">
        <f t="shared" si="6"/>
        <v>100000</v>
      </c>
      <c r="N4" s="5">
        <f t="shared" ref="N4:N26" si="8">IF(E4&lt;&gt;"",M3*$C$5,"")</f>
        <v>5798</v>
      </c>
      <c r="O4" s="5">
        <f>IF(E4&lt;&gt;"",SUM($N$2:N4)-SUM($I$2:I3),"")</f>
        <v>11596</v>
      </c>
      <c r="P4" s="5">
        <f>IF(E4&lt;&gt;"",SUM($N$3:N4)-SUM($I$2:I4),"")</f>
        <v>11596</v>
      </c>
    </row>
    <row r="5" spans="1:16" x14ac:dyDescent="0.25">
      <c r="A5" s="28" t="s">
        <v>4</v>
      </c>
      <c r="B5" s="6">
        <v>4.4600000000000001E-2</v>
      </c>
      <c r="C5">
        <f>B5*1.3</f>
        <v>5.7980000000000004E-2</v>
      </c>
      <c r="E5" s="3">
        <v>3</v>
      </c>
      <c r="F5" s="4">
        <f t="shared" si="7"/>
        <v>45740</v>
      </c>
      <c r="G5" s="5">
        <f t="shared" si="5"/>
        <v>0</v>
      </c>
      <c r="H5" s="5">
        <f t="shared" si="0"/>
        <v>0</v>
      </c>
      <c r="I5" s="5">
        <f t="shared" si="1"/>
        <v>0</v>
      </c>
      <c r="J5" s="5">
        <f t="shared" si="2"/>
        <v>0</v>
      </c>
      <c r="K5" s="5">
        <f t="shared" si="3"/>
        <v>0</v>
      </c>
      <c r="L5" s="5">
        <f t="shared" si="4"/>
        <v>0</v>
      </c>
      <c r="M5" s="5">
        <f t="shared" si="6"/>
        <v>100000</v>
      </c>
      <c r="N5" s="5">
        <f t="shared" si="8"/>
        <v>5798</v>
      </c>
      <c r="O5" s="5">
        <f>IF(E5&lt;&gt;"",SUM($N$2:N5)-SUM($I$2:I4),"")</f>
        <v>17394</v>
      </c>
      <c r="P5" s="5">
        <f>IF(E5&lt;&gt;"",SUM($N$3:N5)-SUM($I$2:I5),"")</f>
        <v>17394</v>
      </c>
    </row>
    <row r="6" spans="1:16" x14ac:dyDescent="0.25">
      <c r="B6" s="1"/>
      <c r="E6" s="3">
        <v>4</v>
      </c>
      <c r="F6" s="4">
        <f t="shared" si="7"/>
        <v>45771</v>
      </c>
      <c r="G6" s="5">
        <f t="shared" si="5"/>
        <v>16921.856952105187</v>
      </c>
      <c r="H6" s="5">
        <f t="shared" si="0"/>
        <v>0</v>
      </c>
      <c r="I6" s="5">
        <f>IF(E6&lt;&gt;"",IF(O6&gt;G6,G6,O6),"")</f>
        <v>16921.856952105187</v>
      </c>
      <c r="J6" s="5">
        <f>IF(E6&lt;&gt;"",I6/1.3,"")</f>
        <v>13016.813040080913</v>
      </c>
      <c r="K6" s="5">
        <f>IF(E6&lt;&gt;"",J6*0.15,"")</f>
        <v>1952.5219560121368</v>
      </c>
      <c r="L6" s="5">
        <f>IF(E6&lt;&gt;"",J6*0.15,"")</f>
        <v>1952.5219560121368</v>
      </c>
      <c r="M6" s="5">
        <f t="shared" si="6"/>
        <v>100000</v>
      </c>
      <c r="N6" s="5">
        <f t="shared" si="8"/>
        <v>5798</v>
      </c>
      <c r="O6" s="5">
        <f>IF(E6&lt;&gt;"",SUM($N$2:N6)-SUM($I$2:I5),"")</f>
        <v>23192</v>
      </c>
      <c r="P6" s="5">
        <f>IF(E6&lt;&gt;"",SUM($N$3:N6)-SUM($I$2:I6),"")</f>
        <v>6270.1430478948132</v>
      </c>
    </row>
    <row r="7" spans="1:16" x14ac:dyDescent="0.25">
      <c r="B7" s="1"/>
      <c r="E7" s="3">
        <v>5</v>
      </c>
      <c r="F7" s="4">
        <f t="shared" si="7"/>
        <v>45801</v>
      </c>
      <c r="G7" s="5">
        <f t="shared" si="5"/>
        <v>16921.856952105187</v>
      </c>
      <c r="H7" s="5">
        <f>IF(E7&lt;&gt;"",G7-I7,"")</f>
        <v>4853.7139042103736</v>
      </c>
      <c r="I7" s="5">
        <f t="shared" ref="I7:I26" si="9">IF(E7&lt;&gt;"",IF(O7&gt;G7,G7,O7),"")</f>
        <v>12068.143047894813</v>
      </c>
      <c r="J7" s="5">
        <f t="shared" ref="J7:J26" si="10">IF(E7&lt;&gt;"",I7/1.3,"")</f>
        <v>9283.1869599190868</v>
      </c>
      <c r="K7" s="5">
        <f t="shared" ref="K7:K26" si="11">IF(E7&lt;&gt;"",J7*0.15,"")</f>
        <v>1392.478043987863</v>
      </c>
      <c r="L7" s="5">
        <f t="shared" ref="L7:L26" si="12">IF(E7&lt;&gt;"",J7*0.15,"")</f>
        <v>1392.478043987863</v>
      </c>
      <c r="M7" s="5">
        <f>IF(E7&lt;&gt;"",M6-H7,"")</f>
        <v>95146.286095789634</v>
      </c>
      <c r="N7" s="5">
        <f t="shared" si="8"/>
        <v>5798</v>
      </c>
      <c r="O7" s="5">
        <f>IF(E7&lt;&gt;"",SUM($N$2:N7)-SUM($I$2:I6),"")</f>
        <v>12068.143047894813</v>
      </c>
      <c r="P7" s="5">
        <f>IF(E7&lt;&gt;"",SUM($N$3:N7)-SUM($I$2:I7),"")</f>
        <v>0</v>
      </c>
    </row>
    <row r="8" spans="1:16" x14ac:dyDescent="0.25">
      <c r="E8" s="3">
        <v>6</v>
      </c>
      <c r="F8" s="4">
        <f t="shared" si="7"/>
        <v>45832</v>
      </c>
      <c r="G8" s="5">
        <f t="shared" si="5"/>
        <v>16921.856952105187</v>
      </c>
      <c r="H8" s="5">
        <f t="shared" si="0"/>
        <v>11405.275284271305</v>
      </c>
      <c r="I8" s="5">
        <f t="shared" si="9"/>
        <v>5516.5816678338815</v>
      </c>
      <c r="J8" s="5">
        <f t="shared" si="10"/>
        <v>4243.5243598722163</v>
      </c>
      <c r="K8" s="5">
        <f t="shared" si="11"/>
        <v>636.52865398083247</v>
      </c>
      <c r="L8" s="5">
        <f t="shared" si="12"/>
        <v>636.52865398083247</v>
      </c>
      <c r="M8" s="5">
        <f t="shared" ref="M8:M26" si="13">IF(E8&lt;&gt;"",M7-H8,"")</f>
        <v>83741.010811518325</v>
      </c>
      <c r="N8" s="5">
        <f t="shared" si="8"/>
        <v>5516.5816678338833</v>
      </c>
      <c r="O8" s="5">
        <f>IF(E8&lt;&gt;"",SUM($N$2:N8)-SUM($I$2:I7),"")</f>
        <v>5516.5816678338815</v>
      </c>
      <c r="P8" s="5">
        <f>IF(E8&lt;&gt;"",SUM($N$3:N8)-SUM($I$2:I8),"")</f>
        <v>0</v>
      </c>
    </row>
    <row r="9" spans="1:16" x14ac:dyDescent="0.25">
      <c r="E9" s="3">
        <v>7</v>
      </c>
      <c r="F9" s="4">
        <f t="shared" si="7"/>
        <v>45862</v>
      </c>
      <c r="G9" s="5">
        <f t="shared" si="5"/>
        <v>16921.856952105187</v>
      </c>
      <c r="H9" s="5">
        <f t="shared" si="0"/>
        <v>12066.553145253358</v>
      </c>
      <c r="I9" s="5">
        <f t="shared" si="9"/>
        <v>4855.303806851829</v>
      </c>
      <c r="J9" s="5">
        <f t="shared" si="10"/>
        <v>3734.8490821937144</v>
      </c>
      <c r="K9" s="5">
        <f t="shared" si="11"/>
        <v>560.22736232905709</v>
      </c>
      <c r="L9" s="5">
        <f t="shared" si="12"/>
        <v>560.22736232905709</v>
      </c>
      <c r="M9" s="5">
        <f t="shared" si="13"/>
        <v>71674.457666264963</v>
      </c>
      <c r="N9" s="5">
        <f t="shared" si="8"/>
        <v>4855.3038068518326</v>
      </c>
      <c r="O9" s="5">
        <f>IF(E9&lt;&gt;"",SUM($N$2:N9)-SUM($I$2:I8),"")</f>
        <v>4855.303806851829</v>
      </c>
      <c r="P9" s="5">
        <f>IF(E9&lt;&gt;"",SUM($N$3:N9)-SUM($I$2:I9),"")</f>
        <v>0</v>
      </c>
    </row>
    <row r="10" spans="1:16" x14ac:dyDescent="0.25">
      <c r="E10" s="3">
        <v>8</v>
      </c>
      <c r="F10" s="4">
        <f t="shared" si="7"/>
        <v>45893</v>
      </c>
      <c r="G10" s="5">
        <f t="shared" si="5"/>
        <v>16921.856952105187</v>
      </c>
      <c r="H10" s="5">
        <f t="shared" si="0"/>
        <v>12766.171896615142</v>
      </c>
      <c r="I10" s="5">
        <f t="shared" si="9"/>
        <v>4155.6850554900448</v>
      </c>
      <c r="J10" s="5">
        <f t="shared" si="10"/>
        <v>3196.6808119154189</v>
      </c>
      <c r="K10" s="5">
        <f t="shared" si="11"/>
        <v>479.50212178731283</v>
      </c>
      <c r="L10" s="5">
        <f t="shared" si="12"/>
        <v>479.50212178731283</v>
      </c>
      <c r="M10" s="5">
        <f t="shared" si="13"/>
        <v>58908.285769649825</v>
      </c>
      <c r="N10" s="5">
        <f t="shared" si="8"/>
        <v>4155.6850554900429</v>
      </c>
      <c r="O10" s="5">
        <f>IF(E10&lt;&gt;"",SUM($N$2:N10)-SUM($I$2:I9),"")</f>
        <v>4155.6850554900448</v>
      </c>
      <c r="P10" s="5">
        <f>IF(E10&lt;&gt;"",SUM($N$3:N10)-SUM($I$2:I10),"")</f>
        <v>0</v>
      </c>
    </row>
    <row r="11" spans="1:16" x14ac:dyDescent="0.25">
      <c r="E11" s="3">
        <v>9</v>
      </c>
      <c r="F11" s="4">
        <f t="shared" si="7"/>
        <v>45924</v>
      </c>
      <c r="G11" s="5">
        <f t="shared" si="5"/>
        <v>16921.856952105187</v>
      </c>
      <c r="H11" s="5">
        <f t="shared" si="0"/>
        <v>13506.354543180893</v>
      </c>
      <c r="I11" s="5">
        <f t="shared" si="9"/>
        <v>3415.5024089242943</v>
      </c>
      <c r="J11" s="5">
        <f t="shared" si="10"/>
        <v>2627.30954532638</v>
      </c>
      <c r="K11" s="5">
        <f t="shared" si="11"/>
        <v>394.09643179895698</v>
      </c>
      <c r="L11" s="5">
        <f t="shared" si="12"/>
        <v>394.09643179895698</v>
      </c>
      <c r="M11" s="5">
        <f t="shared" si="13"/>
        <v>45401.931226468936</v>
      </c>
      <c r="N11" s="5">
        <f t="shared" si="8"/>
        <v>3415.502408924297</v>
      </c>
      <c r="O11" s="5">
        <f>IF(E11&lt;&gt;"",SUM($N$2:N11)-SUM($I$2:I10),"")</f>
        <v>3415.5024089242943</v>
      </c>
      <c r="P11" s="5">
        <f>IF(E11&lt;&gt;"",SUM($N$3:N11)-SUM($I$2:I11),"")</f>
        <v>0</v>
      </c>
    </row>
    <row r="12" spans="1:16" x14ac:dyDescent="0.25">
      <c r="E12" s="3">
        <v>10</v>
      </c>
      <c r="F12" s="4">
        <f t="shared" si="7"/>
        <v>45954</v>
      </c>
      <c r="G12" s="5">
        <f t="shared" si="5"/>
        <v>16921.856952105187</v>
      </c>
      <c r="H12" s="5">
        <f t="shared" si="0"/>
        <v>14289.452979594516</v>
      </c>
      <c r="I12" s="5">
        <f t="shared" si="9"/>
        <v>2632.4039725106704</v>
      </c>
      <c r="J12" s="5">
        <f t="shared" si="10"/>
        <v>2024.9261327005156</v>
      </c>
      <c r="K12" s="5">
        <f t="shared" si="11"/>
        <v>303.73891990507735</v>
      </c>
      <c r="L12" s="5">
        <f t="shared" si="12"/>
        <v>303.73891990507735</v>
      </c>
      <c r="M12" s="5">
        <f t="shared" si="13"/>
        <v>31112.47824687442</v>
      </c>
      <c r="N12" s="5">
        <f t="shared" si="8"/>
        <v>2632.4039725106691</v>
      </c>
      <c r="O12" s="5">
        <f>IF(E12&lt;&gt;"",SUM($N$2:N12)-SUM($I$2:I11),"")</f>
        <v>2632.4039725106704</v>
      </c>
      <c r="P12" s="5">
        <f>IF(E12&lt;&gt;"",SUM($N$3:N12)-SUM($I$2:I12),"")</f>
        <v>0</v>
      </c>
    </row>
    <row r="13" spans="1:16" x14ac:dyDescent="0.25">
      <c r="E13" s="3">
        <v>11</v>
      </c>
      <c r="F13" s="4">
        <f t="shared" si="7"/>
        <v>45985</v>
      </c>
      <c r="G13" s="5">
        <f t="shared" si="5"/>
        <v>16921.856952105187</v>
      </c>
      <c r="H13" s="5">
        <f t="shared" si="0"/>
        <v>15117.955463351409</v>
      </c>
      <c r="I13" s="5">
        <f t="shared" si="9"/>
        <v>1803.9014887537778</v>
      </c>
      <c r="J13" s="5">
        <f t="shared" si="10"/>
        <v>1387.6165298105982</v>
      </c>
      <c r="K13" s="5">
        <f t="shared" si="11"/>
        <v>208.14247947158972</v>
      </c>
      <c r="L13" s="5">
        <f t="shared" si="12"/>
        <v>208.14247947158972</v>
      </c>
      <c r="M13" s="5">
        <f t="shared" si="13"/>
        <v>15994.522783523011</v>
      </c>
      <c r="N13" s="5">
        <f t="shared" si="8"/>
        <v>1803.9014887537789</v>
      </c>
      <c r="O13" s="5">
        <f>IF(E13&lt;&gt;"",SUM($N$2:N13)-SUM($I$2:I12),"")</f>
        <v>1803.9014887537778</v>
      </c>
      <c r="P13" s="5">
        <f>IF(E13&lt;&gt;"",SUM($N$3:N13)-SUM($I$2:I13),"")</f>
        <v>0</v>
      </c>
    </row>
    <row r="14" spans="1:16" x14ac:dyDescent="0.25">
      <c r="E14" s="3">
        <v>12</v>
      </c>
      <c r="F14" s="4">
        <f t="shared" si="7"/>
        <v>46015</v>
      </c>
      <c r="G14" s="5">
        <f t="shared" si="5"/>
        <v>16921.856952105187</v>
      </c>
      <c r="H14" s="5">
        <f t="shared" si="0"/>
        <v>15994.494521116521</v>
      </c>
      <c r="I14" s="5">
        <f t="shared" si="9"/>
        <v>927.36243098866544</v>
      </c>
      <c r="J14" s="5">
        <f t="shared" si="10"/>
        <v>713.35571614512719</v>
      </c>
      <c r="K14" s="5">
        <f t="shared" si="11"/>
        <v>107.00335742176908</v>
      </c>
      <c r="L14" s="5">
        <f t="shared" si="12"/>
        <v>107.00335742176908</v>
      </c>
      <c r="M14" s="5">
        <f t="shared" si="13"/>
        <v>2.826240648937528E-2</v>
      </c>
      <c r="N14" s="5">
        <f t="shared" si="8"/>
        <v>927.36243098866419</v>
      </c>
      <c r="O14" s="5">
        <f>IF(E14&lt;&gt;"",SUM($N$2:N14)-SUM($I$2:I13),"")</f>
        <v>927.36243098866544</v>
      </c>
      <c r="P14" s="5">
        <f>IF(E14&lt;&gt;"",SUM($N$3:N14)-SUM($I$2:I14),"")</f>
        <v>0</v>
      </c>
    </row>
    <row r="15" spans="1:16" x14ac:dyDescent="0.25">
      <c r="E15" s="3"/>
      <c r="F15" s="4" t="str">
        <f t="shared" si="7"/>
        <v/>
      </c>
      <c r="G15" s="5" t="str">
        <f t="shared" si="5"/>
        <v/>
      </c>
      <c r="H15" s="5" t="str">
        <f t="shared" si="0"/>
        <v/>
      </c>
      <c r="I15" s="5" t="str">
        <f t="shared" si="9"/>
        <v/>
      </c>
      <c r="J15" s="5" t="str">
        <f t="shared" si="10"/>
        <v/>
      </c>
      <c r="K15" s="5" t="str">
        <f t="shared" si="11"/>
        <v/>
      </c>
      <c r="L15" s="5" t="str">
        <f t="shared" si="12"/>
        <v/>
      </c>
      <c r="M15" s="5" t="str">
        <f t="shared" si="13"/>
        <v/>
      </c>
      <c r="N15" s="5" t="str">
        <f t="shared" si="8"/>
        <v/>
      </c>
      <c r="O15" s="5" t="str">
        <f>IF(E15&lt;&gt;"",SUM($N$2:N15)-SUM($I$2:I14),"")</f>
        <v/>
      </c>
      <c r="P15" s="5" t="str">
        <f>IF(E15&lt;&gt;"",SUM($N$3:N15)-SUM($I$2:I15),"")</f>
        <v/>
      </c>
    </row>
    <row r="16" spans="1:16" x14ac:dyDescent="0.25">
      <c r="E16" s="3"/>
      <c r="F16" s="4" t="str">
        <f t="shared" si="7"/>
        <v/>
      </c>
      <c r="G16" s="5" t="str">
        <f t="shared" si="5"/>
        <v/>
      </c>
      <c r="H16" s="5" t="str">
        <f t="shared" si="0"/>
        <v/>
      </c>
      <c r="I16" s="5" t="str">
        <f t="shared" si="9"/>
        <v/>
      </c>
      <c r="J16" s="5" t="str">
        <f t="shared" si="10"/>
        <v/>
      </c>
      <c r="K16" s="5" t="str">
        <f t="shared" si="11"/>
        <v/>
      </c>
      <c r="L16" s="5" t="str">
        <f t="shared" si="12"/>
        <v/>
      </c>
      <c r="M16" s="5" t="str">
        <f t="shared" si="13"/>
        <v/>
      </c>
      <c r="N16" s="5" t="str">
        <f t="shared" si="8"/>
        <v/>
      </c>
      <c r="O16" s="5" t="str">
        <f>IF(E16&lt;&gt;"",SUM($N$2:N16)-SUM($I$2:I15),"")</f>
        <v/>
      </c>
      <c r="P16" s="5" t="str">
        <f>IF(E16&lt;&gt;"",SUM($N$3:N16)-SUM($I$2:I16),"")</f>
        <v/>
      </c>
    </row>
    <row r="17" spans="5:16" x14ac:dyDescent="0.25">
      <c r="E17" s="3"/>
      <c r="F17" s="4" t="str">
        <f t="shared" si="7"/>
        <v/>
      </c>
      <c r="G17" s="5" t="str">
        <f t="shared" si="5"/>
        <v/>
      </c>
      <c r="H17" s="5" t="str">
        <f t="shared" si="0"/>
        <v/>
      </c>
      <c r="I17" s="5" t="str">
        <f t="shared" si="9"/>
        <v/>
      </c>
      <c r="J17" s="5" t="str">
        <f t="shared" si="10"/>
        <v/>
      </c>
      <c r="K17" s="5" t="str">
        <f t="shared" si="11"/>
        <v/>
      </c>
      <c r="L17" s="5" t="str">
        <f t="shared" si="12"/>
        <v/>
      </c>
      <c r="M17" s="5" t="str">
        <f t="shared" si="13"/>
        <v/>
      </c>
      <c r="N17" s="5" t="str">
        <f t="shared" si="8"/>
        <v/>
      </c>
      <c r="O17" s="5" t="str">
        <f>IF(E17&lt;&gt;"",SUM($N$2:N17)-SUM($I$2:I16),"")</f>
        <v/>
      </c>
      <c r="P17" s="5" t="str">
        <f>IF(E17&lt;&gt;"",SUM($N$3:N17)-SUM($I$2:I17),"")</f>
        <v/>
      </c>
    </row>
    <row r="18" spans="5:16" x14ac:dyDescent="0.25">
      <c r="E18" s="3"/>
      <c r="F18" s="4" t="str">
        <f t="shared" si="7"/>
        <v/>
      </c>
      <c r="G18" s="5" t="str">
        <f t="shared" si="5"/>
        <v/>
      </c>
      <c r="H18" s="5" t="str">
        <f t="shared" si="0"/>
        <v/>
      </c>
      <c r="I18" s="5" t="str">
        <f t="shared" si="9"/>
        <v/>
      </c>
      <c r="J18" s="5" t="str">
        <f t="shared" si="10"/>
        <v/>
      </c>
      <c r="K18" s="5" t="str">
        <f t="shared" si="11"/>
        <v/>
      </c>
      <c r="L18" s="5" t="str">
        <f t="shared" si="12"/>
        <v/>
      </c>
      <c r="M18" s="5" t="str">
        <f t="shared" si="13"/>
        <v/>
      </c>
      <c r="N18" s="5" t="str">
        <f t="shared" si="8"/>
        <v/>
      </c>
      <c r="O18" s="5" t="str">
        <f>IF(E18&lt;&gt;"",SUM($N$2:N18)-SUM($I$2:I17),"")</f>
        <v/>
      </c>
      <c r="P18" s="5" t="str">
        <f>IF(E18&lt;&gt;"",SUM($N$3:N18)-SUM($I$2:I18),"")</f>
        <v/>
      </c>
    </row>
    <row r="19" spans="5:16" x14ac:dyDescent="0.25">
      <c r="E19" s="3"/>
      <c r="F19" s="4" t="str">
        <f t="shared" si="7"/>
        <v/>
      </c>
      <c r="G19" s="5" t="str">
        <f t="shared" si="5"/>
        <v/>
      </c>
      <c r="H19" s="5" t="str">
        <f t="shared" si="0"/>
        <v/>
      </c>
      <c r="I19" s="5" t="str">
        <f t="shared" si="9"/>
        <v/>
      </c>
      <c r="J19" s="5" t="str">
        <f t="shared" si="10"/>
        <v/>
      </c>
      <c r="K19" s="5" t="str">
        <f t="shared" si="11"/>
        <v/>
      </c>
      <c r="L19" s="5" t="str">
        <f t="shared" si="12"/>
        <v/>
      </c>
      <c r="M19" s="5" t="str">
        <f t="shared" si="13"/>
        <v/>
      </c>
      <c r="N19" s="5" t="str">
        <f t="shared" si="8"/>
        <v/>
      </c>
      <c r="O19" s="5" t="str">
        <f>IF(E19&lt;&gt;"",SUM($N$2:N19)-SUM($I$2:I18),"")</f>
        <v/>
      </c>
      <c r="P19" s="5" t="str">
        <f>IF(E19&lt;&gt;"",SUM($N$3:N19)-SUM($I$2:I19),"")</f>
        <v/>
      </c>
    </row>
    <row r="20" spans="5:16" x14ac:dyDescent="0.25">
      <c r="E20" s="3"/>
      <c r="F20" s="4" t="str">
        <f t="shared" si="7"/>
        <v/>
      </c>
      <c r="G20" s="5" t="str">
        <f t="shared" si="5"/>
        <v/>
      </c>
      <c r="H20" s="5" t="str">
        <f t="shared" si="0"/>
        <v/>
      </c>
      <c r="I20" s="5" t="str">
        <f t="shared" si="9"/>
        <v/>
      </c>
      <c r="J20" s="5" t="str">
        <f t="shared" si="10"/>
        <v/>
      </c>
      <c r="K20" s="5" t="str">
        <f t="shared" si="11"/>
        <v/>
      </c>
      <c r="L20" s="5" t="str">
        <f t="shared" si="12"/>
        <v/>
      </c>
      <c r="M20" s="5" t="str">
        <f t="shared" si="13"/>
        <v/>
      </c>
      <c r="N20" s="5" t="str">
        <f t="shared" si="8"/>
        <v/>
      </c>
      <c r="O20" s="5" t="str">
        <f>IF(E20&lt;&gt;"",SUM($N$2:N20)-SUM($I$2:I19),"")</f>
        <v/>
      </c>
      <c r="P20" s="5" t="str">
        <f>IF(E20&lt;&gt;"",SUM($N$3:N20)-SUM($I$2:I20),"")</f>
        <v/>
      </c>
    </row>
    <row r="21" spans="5:16" x14ac:dyDescent="0.25">
      <c r="E21" s="3"/>
      <c r="F21" s="4" t="str">
        <f t="shared" si="7"/>
        <v/>
      </c>
      <c r="G21" s="5" t="str">
        <f t="shared" si="5"/>
        <v/>
      </c>
      <c r="H21" s="5" t="str">
        <f t="shared" si="0"/>
        <v/>
      </c>
      <c r="I21" s="5" t="str">
        <f t="shared" si="9"/>
        <v/>
      </c>
      <c r="J21" s="5" t="str">
        <f t="shared" si="10"/>
        <v/>
      </c>
      <c r="K21" s="5" t="str">
        <f t="shared" si="11"/>
        <v/>
      </c>
      <c r="L21" s="5" t="str">
        <f t="shared" si="12"/>
        <v/>
      </c>
      <c r="M21" s="5" t="str">
        <f t="shared" si="13"/>
        <v/>
      </c>
      <c r="N21" s="5" t="str">
        <f t="shared" si="8"/>
        <v/>
      </c>
      <c r="O21" s="5" t="str">
        <f>IF(E21&lt;&gt;"",SUM($N$2:N21)-SUM($I$2:I20),"")</f>
        <v/>
      </c>
      <c r="P21" s="5" t="str">
        <f>IF(E21&lt;&gt;"",SUM($N$3:N21)-SUM($I$2:I21),"")</f>
        <v/>
      </c>
    </row>
    <row r="22" spans="5:16" x14ac:dyDescent="0.25">
      <c r="E22" s="3"/>
      <c r="F22" s="4" t="str">
        <f t="shared" si="7"/>
        <v/>
      </c>
      <c r="G22" s="5" t="str">
        <f t="shared" si="5"/>
        <v/>
      </c>
      <c r="H22" s="5" t="str">
        <f t="shared" si="0"/>
        <v/>
      </c>
      <c r="I22" s="5" t="str">
        <f t="shared" si="9"/>
        <v/>
      </c>
      <c r="J22" s="5" t="str">
        <f t="shared" si="10"/>
        <v/>
      </c>
      <c r="K22" s="5" t="str">
        <f t="shared" si="11"/>
        <v/>
      </c>
      <c r="L22" s="5" t="str">
        <f t="shared" si="12"/>
        <v/>
      </c>
      <c r="M22" s="5" t="str">
        <f t="shared" si="13"/>
        <v/>
      </c>
      <c r="N22" s="5" t="str">
        <f t="shared" si="8"/>
        <v/>
      </c>
      <c r="O22" s="5" t="str">
        <f>IF(E22&lt;&gt;"",SUM($N$2:N22)-SUM($I$2:I21),"")</f>
        <v/>
      </c>
      <c r="P22" s="5" t="str">
        <f>IF(E22&lt;&gt;"",SUM($N$3:N22)-SUM($I$2:I22),"")</f>
        <v/>
      </c>
    </row>
    <row r="23" spans="5:16" x14ac:dyDescent="0.25">
      <c r="E23" s="3"/>
      <c r="F23" s="4" t="str">
        <f t="shared" si="7"/>
        <v/>
      </c>
      <c r="G23" s="5" t="str">
        <f t="shared" si="5"/>
        <v/>
      </c>
      <c r="H23" s="5" t="str">
        <f t="shared" si="0"/>
        <v/>
      </c>
      <c r="I23" s="5" t="str">
        <f t="shared" si="9"/>
        <v/>
      </c>
      <c r="J23" s="5" t="str">
        <f t="shared" si="10"/>
        <v/>
      </c>
      <c r="K23" s="5" t="str">
        <f t="shared" si="11"/>
        <v/>
      </c>
      <c r="L23" s="5" t="str">
        <f t="shared" si="12"/>
        <v/>
      </c>
      <c r="M23" s="5" t="str">
        <f t="shared" si="13"/>
        <v/>
      </c>
      <c r="N23" s="5" t="str">
        <f t="shared" si="8"/>
        <v/>
      </c>
      <c r="O23" s="5" t="str">
        <f>IF(E23&lt;&gt;"",SUM($N$2:N23)-SUM($I$2:I22),"")</f>
        <v/>
      </c>
      <c r="P23" s="5" t="str">
        <f>IF(E23&lt;&gt;"",SUM($N$3:N23)-SUM($I$2:I23),"")</f>
        <v/>
      </c>
    </row>
    <row r="24" spans="5:16" x14ac:dyDescent="0.25">
      <c r="E24" s="3"/>
      <c r="F24" s="4" t="str">
        <f t="shared" si="7"/>
        <v/>
      </c>
      <c r="G24" s="5" t="str">
        <f t="shared" si="5"/>
        <v/>
      </c>
      <c r="H24" s="5" t="str">
        <f t="shared" si="0"/>
        <v/>
      </c>
      <c r="I24" s="5" t="str">
        <f t="shared" si="9"/>
        <v/>
      </c>
      <c r="J24" s="5" t="str">
        <f t="shared" si="10"/>
        <v/>
      </c>
      <c r="K24" s="5" t="str">
        <f t="shared" si="11"/>
        <v/>
      </c>
      <c r="L24" s="5" t="str">
        <f t="shared" si="12"/>
        <v/>
      </c>
      <c r="M24" s="5" t="str">
        <f t="shared" si="13"/>
        <v/>
      </c>
      <c r="N24" s="5" t="str">
        <f t="shared" si="8"/>
        <v/>
      </c>
      <c r="O24" s="5" t="str">
        <f>IF(E24&lt;&gt;"",SUM($N$2:N24)-SUM($I$2:I23),"")</f>
        <v/>
      </c>
      <c r="P24" s="5" t="str">
        <f>IF(E24&lt;&gt;"",SUM($N$3:N24)-SUM($I$2:I24),"")</f>
        <v/>
      </c>
    </row>
    <row r="25" spans="5:16" x14ac:dyDescent="0.25">
      <c r="E25" s="3"/>
      <c r="F25" s="4" t="str">
        <f t="shared" si="7"/>
        <v/>
      </c>
      <c r="G25" s="5" t="str">
        <f t="shared" si="5"/>
        <v/>
      </c>
      <c r="H25" s="5" t="str">
        <f t="shared" si="0"/>
        <v/>
      </c>
      <c r="I25" s="5" t="str">
        <f t="shared" si="9"/>
        <v/>
      </c>
      <c r="J25" s="5" t="str">
        <f t="shared" si="10"/>
        <v/>
      </c>
      <c r="K25" s="5" t="str">
        <f t="shared" si="11"/>
        <v/>
      </c>
      <c r="L25" s="5" t="str">
        <f t="shared" si="12"/>
        <v/>
      </c>
      <c r="M25" s="5" t="str">
        <f t="shared" si="13"/>
        <v/>
      </c>
      <c r="N25" s="5" t="str">
        <f t="shared" si="8"/>
        <v/>
      </c>
      <c r="O25" s="5" t="str">
        <f>IF(E25&lt;&gt;"",SUM($N$2:N25)-SUM($I$2:I24),"")</f>
        <v/>
      </c>
      <c r="P25" s="5" t="str">
        <f>IF(E25&lt;&gt;"",SUM($N$3:N25)-SUM($I$2:I25),"")</f>
        <v/>
      </c>
    </row>
    <row r="26" spans="5:16" x14ac:dyDescent="0.25">
      <c r="E26" s="3"/>
      <c r="F26" s="4" t="str">
        <f t="shared" si="7"/>
        <v/>
      </c>
      <c r="G26" s="5" t="str">
        <f t="shared" si="5"/>
        <v/>
      </c>
      <c r="H26" s="5" t="str">
        <f t="shared" si="0"/>
        <v/>
      </c>
      <c r="I26" s="5" t="str">
        <f t="shared" si="9"/>
        <v/>
      </c>
      <c r="J26" s="5" t="str">
        <f t="shared" si="10"/>
        <v/>
      </c>
      <c r="K26" s="5" t="str">
        <f t="shared" si="11"/>
        <v/>
      </c>
      <c r="L26" s="5" t="str">
        <f t="shared" si="12"/>
        <v/>
      </c>
      <c r="M26" s="5" t="str">
        <f t="shared" si="13"/>
        <v/>
      </c>
      <c r="N26" s="5" t="str">
        <f t="shared" si="8"/>
        <v/>
      </c>
      <c r="O26" s="5" t="str">
        <f>IF(E26&lt;&gt;"",SUM($N$2:N26)-SUM($I$2:I25),"")</f>
        <v/>
      </c>
      <c r="P26" s="5" t="str">
        <f>IF(E26&lt;&gt;"",SUM($N$3:N26)-SUM($I$2:I26),"")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D0E5F-4808-4556-BEA2-5D8BBC7ACDC5}">
  <dimension ref="A1:R30"/>
  <sheetViews>
    <sheetView tabSelected="1" workbookViewId="0">
      <selection activeCell="R30" sqref="R30"/>
    </sheetView>
  </sheetViews>
  <sheetFormatPr defaultRowHeight="15" x14ac:dyDescent="0.25"/>
  <cols>
    <col min="1" max="1" width="3.7109375" bestFit="1" customWidth="1"/>
    <col min="2" max="2" width="14.42578125" bestFit="1" customWidth="1"/>
    <col min="3" max="3" width="12.7109375" bestFit="1" customWidth="1"/>
    <col min="4" max="4" width="2.85546875" customWidth="1"/>
    <col min="5" max="5" width="12.28515625" bestFit="1" customWidth="1"/>
    <col min="6" max="6" width="12.7109375" bestFit="1" customWidth="1"/>
    <col min="9" max="9" width="12.7109375" bestFit="1" customWidth="1"/>
    <col min="10" max="10" width="14.7109375" bestFit="1" customWidth="1"/>
    <col min="11" max="11" width="12.7109375" bestFit="1" customWidth="1"/>
    <col min="12" max="12" width="15.85546875" bestFit="1" customWidth="1"/>
    <col min="14" max="14" width="9" customWidth="1"/>
    <col min="15" max="15" width="12.7109375" bestFit="1" customWidth="1"/>
    <col min="16" max="16" width="14.7109375" bestFit="1" customWidth="1"/>
    <col min="17" max="17" width="12.7109375" bestFit="1" customWidth="1"/>
    <col min="18" max="18" width="15.85546875" bestFit="1" customWidth="1"/>
  </cols>
  <sheetData>
    <row r="1" spans="1:18" ht="15.75" thickBot="1" x14ac:dyDescent="0.3">
      <c r="B1" s="27" t="s">
        <v>28</v>
      </c>
      <c r="C1" s="27"/>
      <c r="E1" s="27" t="s">
        <v>29</v>
      </c>
      <c r="F1" s="27"/>
      <c r="H1" s="30" t="s">
        <v>26</v>
      </c>
      <c r="I1" s="31"/>
      <c r="J1" s="31"/>
      <c r="K1" s="31"/>
      <c r="L1" s="32"/>
      <c r="N1" s="24" t="s">
        <v>27</v>
      </c>
      <c r="O1" s="25"/>
      <c r="P1" s="25"/>
      <c r="Q1" s="25"/>
      <c r="R1" s="26"/>
    </row>
    <row r="2" spans="1:18" x14ac:dyDescent="0.25">
      <c r="A2" s="23" t="s">
        <v>19</v>
      </c>
      <c r="B2" s="22" t="s">
        <v>0</v>
      </c>
      <c r="C2" s="5">
        <v>100000</v>
      </c>
      <c r="E2" s="22" t="s">
        <v>0</v>
      </c>
      <c r="F2" s="5">
        <v>100000</v>
      </c>
      <c r="H2" s="33" t="s">
        <v>7</v>
      </c>
      <c r="I2" s="34" t="s">
        <v>20</v>
      </c>
      <c r="J2" s="34" t="s">
        <v>22</v>
      </c>
      <c r="K2" s="34" t="s">
        <v>21</v>
      </c>
      <c r="L2" s="35" t="s">
        <v>23</v>
      </c>
      <c r="N2" s="13" t="s">
        <v>7</v>
      </c>
      <c r="O2" s="10" t="s">
        <v>20</v>
      </c>
      <c r="P2" s="10" t="s">
        <v>22</v>
      </c>
      <c r="Q2" s="11" t="s">
        <v>21</v>
      </c>
      <c r="R2" s="14" t="s">
        <v>23</v>
      </c>
    </row>
    <row r="3" spans="1:18" x14ac:dyDescent="0.25">
      <c r="A3" s="23"/>
      <c r="B3" s="22" t="s">
        <v>1</v>
      </c>
      <c r="C3" s="3">
        <v>3</v>
      </c>
      <c r="E3" s="22" t="s">
        <v>1</v>
      </c>
      <c r="F3" s="3">
        <v>0</v>
      </c>
      <c r="H3" s="15">
        <v>0</v>
      </c>
      <c r="I3" s="3">
        <f>IF(H3&lt;=$C$3,0,$C$5)</f>
        <v>0</v>
      </c>
      <c r="J3" s="3"/>
      <c r="K3" s="3">
        <v>0</v>
      </c>
      <c r="L3" s="16"/>
      <c r="N3" s="15">
        <v>0</v>
      </c>
      <c r="O3" s="3">
        <f>IF(N3&lt;=$C$12,0,$C$14)</f>
        <v>0</v>
      </c>
      <c r="P3" s="3"/>
      <c r="Q3" s="3">
        <v>0</v>
      </c>
      <c r="R3" s="16"/>
    </row>
    <row r="4" spans="1:18" x14ac:dyDescent="0.25">
      <c r="A4" s="23"/>
      <c r="B4" s="22" t="s">
        <v>2</v>
      </c>
      <c r="C4" s="3">
        <v>9</v>
      </c>
      <c r="E4" s="22" t="s">
        <v>2</v>
      </c>
      <c r="F4" s="3">
        <v>12</v>
      </c>
      <c r="H4" s="15">
        <v>1</v>
      </c>
      <c r="I4" s="3">
        <f t="shared" ref="I4:I15" si="0">IF(H4&lt;=$C$3,0,$C$5)</f>
        <v>0</v>
      </c>
      <c r="J4" s="5">
        <f>I4*(1+$C$19)^-$H4</f>
        <v>0</v>
      </c>
      <c r="K4" s="5">
        <f>$F$5</f>
        <v>11795.966498756497</v>
      </c>
      <c r="L4" s="17">
        <f>K4*(1+$C$19)^-$H4</f>
        <v>11452.39465898689</v>
      </c>
      <c r="N4" s="15">
        <v>1</v>
      </c>
      <c r="O4" s="3">
        <f t="shared" ref="O4:O27" si="1">IF(N4&lt;=$C$12,0,$C$14)</f>
        <v>0</v>
      </c>
      <c r="P4" s="5">
        <f>O4*(1+$C$19)^-$N4</f>
        <v>0</v>
      </c>
      <c r="Q4" s="5">
        <f>$F$14</f>
        <v>7435.0378477419899</v>
      </c>
      <c r="R4" s="17">
        <f>Q4*(1+$C$19)^-$N4</f>
        <v>7218.4833473223207</v>
      </c>
    </row>
    <row r="5" spans="1:18" x14ac:dyDescent="0.25">
      <c r="A5" s="23"/>
      <c r="B5" s="22" t="s">
        <v>3</v>
      </c>
      <c r="C5" s="29">
        <v>16921.990000000002</v>
      </c>
      <c r="E5" s="22" t="s">
        <v>3</v>
      </c>
      <c r="F5" s="5">
        <f>-PMT(F6*1.3,F4,F2)</f>
        <v>11795.966498756497</v>
      </c>
      <c r="H5" s="15">
        <v>2</v>
      </c>
      <c r="I5" s="3">
        <f t="shared" si="0"/>
        <v>0</v>
      </c>
      <c r="J5" s="5">
        <f t="shared" ref="J5:J15" si="2">I5*(1+$C$19)^-$H5</f>
        <v>0</v>
      </c>
      <c r="K5" s="5">
        <f t="shared" ref="K5:K15" si="3">$F$5</f>
        <v>11795.966498756497</v>
      </c>
      <c r="L5" s="17">
        <f t="shared" ref="L5:L15" si="4">K5*(1+$C$19)^-$H5</f>
        <v>11118.829766006689</v>
      </c>
      <c r="N5" s="15">
        <v>2</v>
      </c>
      <c r="O5" s="3">
        <f t="shared" si="1"/>
        <v>0</v>
      </c>
      <c r="P5" s="5">
        <f t="shared" ref="P5:P27" si="5">O5*(1+$C$19)^-$N5</f>
        <v>0</v>
      </c>
      <c r="Q5" s="5">
        <f t="shared" ref="Q5:Q27" si="6">$F$14</f>
        <v>7435.0378477419899</v>
      </c>
      <c r="R5" s="17">
        <f t="shared" ref="R5:R27" si="7">Q5*(1+$C$19)^-$N5</f>
        <v>7008.2362595362329</v>
      </c>
    </row>
    <row r="6" spans="1:18" x14ac:dyDescent="0.25">
      <c r="A6" s="23"/>
      <c r="B6" s="22" t="s">
        <v>4</v>
      </c>
      <c r="C6" s="9">
        <v>4.4600000000000001E-2</v>
      </c>
      <c r="E6" s="22" t="s">
        <v>4</v>
      </c>
      <c r="F6" s="9">
        <v>4.4600000000000001E-2</v>
      </c>
      <c r="H6" s="15">
        <v>3</v>
      </c>
      <c r="I6" s="3">
        <f t="shared" si="0"/>
        <v>0</v>
      </c>
      <c r="J6" s="5">
        <f t="shared" si="2"/>
        <v>0</v>
      </c>
      <c r="K6" s="5">
        <f t="shared" si="3"/>
        <v>11795.966498756497</v>
      </c>
      <c r="L6" s="17">
        <f t="shared" si="4"/>
        <v>10794.980355346301</v>
      </c>
      <c r="N6" s="15">
        <v>3</v>
      </c>
      <c r="O6" s="3">
        <f t="shared" si="1"/>
        <v>0</v>
      </c>
      <c r="P6" s="5">
        <f t="shared" si="5"/>
        <v>0</v>
      </c>
      <c r="Q6" s="5">
        <f t="shared" si="6"/>
        <v>7435.0378477419899</v>
      </c>
      <c r="R6" s="17">
        <f t="shared" si="7"/>
        <v>6804.1128733361493</v>
      </c>
    </row>
    <row r="7" spans="1:18" x14ac:dyDescent="0.25">
      <c r="A7" s="23"/>
      <c r="B7" s="22" t="s">
        <v>5</v>
      </c>
      <c r="C7" s="5">
        <v>5052</v>
      </c>
      <c r="E7" s="22" t="s">
        <v>5</v>
      </c>
      <c r="F7" s="5">
        <v>2990</v>
      </c>
      <c r="H7" s="15">
        <v>4</v>
      </c>
      <c r="I7" s="5">
        <f t="shared" si="0"/>
        <v>16921.990000000002</v>
      </c>
      <c r="J7" s="5">
        <f t="shared" si="2"/>
        <v>15034.968939958811</v>
      </c>
      <c r="K7" s="5">
        <f t="shared" si="3"/>
        <v>11795.966498756497</v>
      </c>
      <c r="L7" s="17">
        <f t="shared" si="4"/>
        <v>10480.563451792526</v>
      </c>
      <c r="N7" s="15">
        <v>4</v>
      </c>
      <c r="O7" s="5">
        <f t="shared" si="1"/>
        <v>9089.16</v>
      </c>
      <c r="P7" s="5">
        <f t="shared" si="5"/>
        <v>8075.600936433364</v>
      </c>
      <c r="Q7" s="5">
        <f t="shared" si="6"/>
        <v>7435.0378477419899</v>
      </c>
      <c r="R7" s="17">
        <f t="shared" si="7"/>
        <v>6605.9348284816988</v>
      </c>
    </row>
    <row r="8" spans="1:18" x14ac:dyDescent="0.25">
      <c r="A8" s="23"/>
      <c r="B8" s="22" t="s">
        <v>6</v>
      </c>
      <c r="C8" s="5">
        <v>575</v>
      </c>
      <c r="E8" s="22" t="s">
        <v>6</v>
      </c>
      <c r="F8" s="5">
        <v>0</v>
      </c>
      <c r="H8" s="15">
        <v>5</v>
      </c>
      <c r="I8" s="5">
        <f t="shared" si="0"/>
        <v>16921.990000000002</v>
      </c>
      <c r="J8" s="5">
        <f t="shared" si="2"/>
        <v>14597.057223260983</v>
      </c>
      <c r="K8" s="5">
        <f t="shared" si="3"/>
        <v>11795.966498756497</v>
      </c>
      <c r="L8" s="17">
        <f t="shared" si="4"/>
        <v>10175.304322128666</v>
      </c>
      <c r="N8" s="15">
        <v>5</v>
      </c>
      <c r="O8" s="5">
        <f t="shared" si="1"/>
        <v>9089.16</v>
      </c>
      <c r="P8" s="5">
        <f t="shared" si="5"/>
        <v>7840.389258673169</v>
      </c>
      <c r="Q8" s="5">
        <f t="shared" si="6"/>
        <v>7435.0378477419899</v>
      </c>
      <c r="R8" s="17">
        <f t="shared" si="7"/>
        <v>6413.5289596909697</v>
      </c>
    </row>
    <row r="9" spans="1:18" x14ac:dyDescent="0.25">
      <c r="H9" s="15">
        <v>6</v>
      </c>
      <c r="I9" s="5">
        <f t="shared" si="0"/>
        <v>16921.990000000002</v>
      </c>
      <c r="J9" s="5">
        <f t="shared" si="2"/>
        <v>14171.900216758235</v>
      </c>
      <c r="K9" s="5">
        <f t="shared" si="3"/>
        <v>11795.966498756497</v>
      </c>
      <c r="L9" s="17">
        <f t="shared" si="4"/>
        <v>9878.9362350763749</v>
      </c>
      <c r="N9" s="15">
        <v>6</v>
      </c>
      <c r="O9" s="5">
        <f t="shared" si="1"/>
        <v>9089.16</v>
      </c>
      <c r="P9" s="5">
        <f t="shared" si="5"/>
        <v>7612.0284064788048</v>
      </c>
      <c r="Q9" s="5">
        <f t="shared" si="6"/>
        <v>7435.0378477419899</v>
      </c>
      <c r="R9" s="17">
        <f t="shared" si="7"/>
        <v>6226.7271453310386</v>
      </c>
    </row>
    <row r="10" spans="1:18" x14ac:dyDescent="0.25">
      <c r="B10" s="27" t="s">
        <v>28</v>
      </c>
      <c r="C10" s="27"/>
      <c r="E10" s="27" t="s">
        <v>29</v>
      </c>
      <c r="F10" s="27"/>
      <c r="H10" s="15">
        <v>7</v>
      </c>
      <c r="I10" s="5">
        <f t="shared" si="0"/>
        <v>16921.990000000002</v>
      </c>
      <c r="J10" s="5">
        <f t="shared" si="2"/>
        <v>13759.12642403712</v>
      </c>
      <c r="K10" s="5">
        <f t="shared" si="3"/>
        <v>11795.966498756497</v>
      </c>
      <c r="L10" s="17">
        <f t="shared" si="4"/>
        <v>9591.2002282294907</v>
      </c>
      <c r="N10" s="15">
        <v>7</v>
      </c>
      <c r="O10" s="5">
        <f t="shared" si="1"/>
        <v>9089.16</v>
      </c>
      <c r="P10" s="5">
        <f t="shared" si="5"/>
        <v>7390.3188412415575</v>
      </c>
      <c r="Q10" s="5">
        <f t="shared" si="6"/>
        <v>7435.0378477419899</v>
      </c>
      <c r="R10" s="17">
        <f t="shared" si="7"/>
        <v>6045.3661605155712</v>
      </c>
    </row>
    <row r="11" spans="1:18" x14ac:dyDescent="0.25">
      <c r="A11" s="23" t="s">
        <v>18</v>
      </c>
      <c r="B11" s="22" t="s">
        <v>0</v>
      </c>
      <c r="C11" s="5">
        <v>100000</v>
      </c>
      <c r="E11" s="22" t="s">
        <v>0</v>
      </c>
      <c r="F11" s="5">
        <v>100000</v>
      </c>
      <c r="H11" s="15">
        <v>8</v>
      </c>
      <c r="I11" s="5">
        <f t="shared" si="0"/>
        <v>16921.990000000002</v>
      </c>
      <c r="J11" s="5">
        <f t="shared" si="2"/>
        <v>13358.375168968079</v>
      </c>
      <c r="K11" s="5">
        <f t="shared" si="3"/>
        <v>11795.966498756497</v>
      </c>
      <c r="L11" s="17">
        <f t="shared" si="4"/>
        <v>9311.8448817762037</v>
      </c>
      <c r="N11" s="15">
        <v>8</v>
      </c>
      <c r="O11" s="5">
        <f t="shared" si="1"/>
        <v>9089.16</v>
      </c>
      <c r="P11" s="5">
        <f t="shared" si="5"/>
        <v>7175.0668361568523</v>
      </c>
      <c r="Q11" s="5">
        <f t="shared" si="6"/>
        <v>7435.0378477419899</v>
      </c>
      <c r="R11" s="17">
        <f t="shared" si="7"/>
        <v>5869.2875344811373</v>
      </c>
    </row>
    <row r="12" spans="1:18" x14ac:dyDescent="0.25">
      <c r="A12" s="23"/>
      <c r="B12" s="22" t="s">
        <v>1</v>
      </c>
      <c r="C12" s="3">
        <v>3</v>
      </c>
      <c r="E12" s="22" t="s">
        <v>1</v>
      </c>
      <c r="F12" s="3">
        <v>0</v>
      </c>
      <c r="H12" s="15">
        <v>9</v>
      </c>
      <c r="I12" s="5">
        <f t="shared" si="0"/>
        <v>16921.990000000002</v>
      </c>
      <c r="J12" s="5">
        <f t="shared" si="2"/>
        <v>12969.296280551533</v>
      </c>
      <c r="K12" s="5">
        <f t="shared" si="3"/>
        <v>11795.966498756497</v>
      </c>
      <c r="L12" s="17">
        <f t="shared" si="4"/>
        <v>9040.6260988118484</v>
      </c>
      <c r="N12" s="15">
        <v>9</v>
      </c>
      <c r="O12" s="5">
        <f t="shared" si="1"/>
        <v>9089.16</v>
      </c>
      <c r="P12" s="5">
        <f t="shared" si="5"/>
        <v>6966.0843069483999</v>
      </c>
      <c r="Q12" s="5">
        <f t="shared" si="6"/>
        <v>7435.0378477419899</v>
      </c>
      <c r="R12" s="17">
        <f t="shared" si="7"/>
        <v>5698.3374121176084</v>
      </c>
    </row>
    <row r="13" spans="1:18" x14ac:dyDescent="0.25">
      <c r="A13" s="23"/>
      <c r="B13" s="22" t="s">
        <v>2</v>
      </c>
      <c r="C13" s="3">
        <v>21</v>
      </c>
      <c r="E13" s="22" t="s">
        <v>2</v>
      </c>
      <c r="F13" s="3">
        <v>24</v>
      </c>
      <c r="H13" s="15">
        <v>10</v>
      </c>
      <c r="I13" s="5">
        <f t="shared" si="0"/>
        <v>16921.990000000002</v>
      </c>
      <c r="J13" s="5">
        <f t="shared" si="2"/>
        <v>12591.549786943235</v>
      </c>
      <c r="K13" s="5">
        <f t="shared" si="3"/>
        <v>11795.966498756497</v>
      </c>
      <c r="L13" s="17">
        <f t="shared" si="4"/>
        <v>8777.3068920503374</v>
      </c>
      <c r="N13" s="15">
        <v>10</v>
      </c>
      <c r="O13" s="5">
        <f t="shared" si="1"/>
        <v>9089.16</v>
      </c>
      <c r="P13" s="5">
        <f t="shared" si="5"/>
        <v>6763.1886475227184</v>
      </c>
      <c r="Q13" s="5">
        <f t="shared" si="6"/>
        <v>7435.0378477419899</v>
      </c>
      <c r="R13" s="17">
        <f t="shared" si="7"/>
        <v>5532.3664195316587</v>
      </c>
    </row>
    <row r="14" spans="1:18" x14ac:dyDescent="0.25">
      <c r="A14" s="23"/>
      <c r="B14" s="22" t="s">
        <v>3</v>
      </c>
      <c r="C14" s="29">
        <v>9089.16</v>
      </c>
      <c r="E14" s="22" t="s">
        <v>3</v>
      </c>
      <c r="F14" s="5">
        <f>-PMT(F15*1.3,F13,F11)</f>
        <v>7435.0378477419899</v>
      </c>
      <c r="H14" s="15">
        <v>11</v>
      </c>
      <c r="I14" s="5">
        <f t="shared" si="0"/>
        <v>16921.990000000002</v>
      </c>
      <c r="J14" s="5">
        <f t="shared" si="2"/>
        <v>12224.80561839149</v>
      </c>
      <c r="K14" s="5">
        <f t="shared" si="3"/>
        <v>11795.966498756497</v>
      </c>
      <c r="L14" s="17">
        <f t="shared" si="4"/>
        <v>8521.6571767479018</v>
      </c>
      <c r="N14" s="15">
        <v>11</v>
      </c>
      <c r="O14" s="5">
        <f t="shared" si="1"/>
        <v>9089.16</v>
      </c>
      <c r="P14" s="5">
        <f t="shared" si="5"/>
        <v>6566.2025704104062</v>
      </c>
      <c r="Q14" s="5">
        <f t="shared" si="6"/>
        <v>7435.0378477419899</v>
      </c>
      <c r="R14" s="17">
        <f t="shared" si="7"/>
        <v>5371.2295335258823</v>
      </c>
    </row>
    <row r="15" spans="1:18" ht="15.75" thickBot="1" x14ac:dyDescent="0.3">
      <c r="A15" s="23"/>
      <c r="B15" s="22" t="s">
        <v>4</v>
      </c>
      <c r="C15" s="9">
        <v>4.0500000000000001E-2</v>
      </c>
      <c r="E15" s="22" t="s">
        <v>4</v>
      </c>
      <c r="F15" s="9">
        <v>4.0500000000000001E-2</v>
      </c>
      <c r="H15" s="18">
        <v>12</v>
      </c>
      <c r="I15" s="19">
        <f t="shared" si="0"/>
        <v>16921.990000000002</v>
      </c>
      <c r="J15" s="19">
        <f t="shared" si="2"/>
        <v>11868.743318826693</v>
      </c>
      <c r="K15" s="19">
        <f t="shared" si="3"/>
        <v>11795.966498756497</v>
      </c>
      <c r="L15" s="20">
        <f t="shared" si="4"/>
        <v>8273.4535696581588</v>
      </c>
      <c r="N15" s="15">
        <v>12</v>
      </c>
      <c r="O15" s="5">
        <f t="shared" si="1"/>
        <v>9089.16</v>
      </c>
      <c r="P15" s="5">
        <f t="shared" si="5"/>
        <v>6374.9539518547645</v>
      </c>
      <c r="Q15" s="5">
        <f t="shared" si="6"/>
        <v>7435.0378477419899</v>
      </c>
      <c r="R15" s="17">
        <f t="shared" si="7"/>
        <v>5214.7859548794986</v>
      </c>
    </row>
    <row r="16" spans="1:18" x14ac:dyDescent="0.25">
      <c r="A16" s="23"/>
      <c r="B16" s="22" t="s">
        <v>5</v>
      </c>
      <c r="C16" s="5">
        <v>7133</v>
      </c>
      <c r="E16" s="22" t="s">
        <v>5</v>
      </c>
      <c r="F16" s="5">
        <v>5120</v>
      </c>
      <c r="H16" s="8" t="s">
        <v>24</v>
      </c>
      <c r="I16" s="12">
        <f>SUM(I3:I15)</f>
        <v>152297.91</v>
      </c>
      <c r="J16" s="36">
        <f>SUM(J3:J15)</f>
        <v>120575.82297769617</v>
      </c>
      <c r="K16" s="12">
        <f>SUM(K3:K15)</f>
        <v>141551.59798507794</v>
      </c>
      <c r="L16" s="36">
        <f>SUM(L3:L15)</f>
        <v>117417.0976366114</v>
      </c>
      <c r="N16" s="15">
        <v>13</v>
      </c>
      <c r="O16" s="5">
        <f t="shared" si="1"/>
        <v>9089.16</v>
      </c>
      <c r="P16" s="5">
        <f t="shared" si="5"/>
        <v>6189.2756814123932</v>
      </c>
      <c r="Q16" s="5">
        <f t="shared" si="6"/>
        <v>7435.0378477419899</v>
      </c>
      <c r="R16" s="17">
        <f t="shared" si="7"/>
        <v>5062.8989853199018</v>
      </c>
    </row>
    <row r="17" spans="1:18" x14ac:dyDescent="0.25">
      <c r="A17" s="23"/>
      <c r="B17" s="22" t="s">
        <v>6</v>
      </c>
      <c r="C17" s="5">
        <v>575</v>
      </c>
      <c r="E17" s="22" t="s">
        <v>6</v>
      </c>
      <c r="F17" s="5" t="s">
        <v>30</v>
      </c>
      <c r="J17" s="7">
        <f>NPV(C19,I4:I15)</f>
        <v>120575.82297769614</v>
      </c>
      <c r="L17" s="7">
        <f>NPV($C$19,K4:K15)</f>
        <v>117417.09763661135</v>
      </c>
      <c r="N17" s="15">
        <v>14</v>
      </c>
      <c r="O17" s="5">
        <f t="shared" si="1"/>
        <v>9089.16</v>
      </c>
      <c r="P17" s="5">
        <f t="shared" si="5"/>
        <v>6009.005515934361</v>
      </c>
      <c r="Q17" s="5">
        <f t="shared" si="6"/>
        <v>7435.0378477419899</v>
      </c>
      <c r="R17" s="17">
        <f t="shared" si="7"/>
        <v>4915.4359080775739</v>
      </c>
    </row>
    <row r="18" spans="1:18" x14ac:dyDescent="0.25">
      <c r="I18" s="1"/>
      <c r="J18" s="7">
        <f>-PV(C19,9,I7)*(1+C19)^-3</f>
        <v>120575.82297769614</v>
      </c>
      <c r="K18" s="1"/>
      <c r="L18" s="7">
        <f>PV(C19,12,K4,,0)</f>
        <v>-117417.09763661132</v>
      </c>
      <c r="N18" s="15">
        <v>15</v>
      </c>
      <c r="O18" s="5">
        <f t="shared" si="1"/>
        <v>9089.16</v>
      </c>
      <c r="P18" s="5">
        <f t="shared" si="5"/>
        <v>5833.9859378003503</v>
      </c>
      <c r="Q18" s="5">
        <f t="shared" si="6"/>
        <v>7435.0378477419899</v>
      </c>
      <c r="R18" s="17">
        <f t="shared" si="7"/>
        <v>4772.2678719199739</v>
      </c>
    </row>
    <row r="19" spans="1:18" x14ac:dyDescent="0.25">
      <c r="B19" s="8" t="s">
        <v>25</v>
      </c>
      <c r="C19" s="21">
        <v>0.03</v>
      </c>
      <c r="N19" s="15">
        <v>16</v>
      </c>
      <c r="O19" s="5">
        <f t="shared" si="1"/>
        <v>9089.16</v>
      </c>
      <c r="P19" s="5">
        <f t="shared" si="5"/>
        <v>5664.0640172818948</v>
      </c>
      <c r="Q19" s="5">
        <f t="shared" si="6"/>
        <v>7435.0378477419899</v>
      </c>
      <c r="R19" s="17">
        <f t="shared" si="7"/>
        <v>4633.2697785630826</v>
      </c>
    </row>
    <row r="20" spans="1:18" x14ac:dyDescent="0.25">
      <c r="N20" s="15">
        <v>17</v>
      </c>
      <c r="O20" s="5">
        <f t="shared" si="1"/>
        <v>9089.16</v>
      </c>
      <c r="P20" s="5">
        <f t="shared" si="5"/>
        <v>5499.0912789144604</v>
      </c>
      <c r="Q20" s="5">
        <f t="shared" si="6"/>
        <v>7435.0378477419899</v>
      </c>
      <c r="R20" s="17">
        <f t="shared" si="7"/>
        <v>4498.3201733622163</v>
      </c>
    </row>
    <row r="21" spans="1:18" x14ac:dyDescent="0.25">
      <c r="B21" s="6"/>
      <c r="N21" s="15">
        <v>18</v>
      </c>
      <c r="O21" s="5">
        <f t="shared" si="1"/>
        <v>9089.16</v>
      </c>
      <c r="P21" s="5">
        <f t="shared" si="5"/>
        <v>5338.923571761612</v>
      </c>
      <c r="Q21" s="5">
        <f t="shared" si="6"/>
        <v>7435.0378477419899</v>
      </c>
      <c r="R21" s="17">
        <f t="shared" si="7"/>
        <v>4367.3011391866175</v>
      </c>
    </row>
    <row r="22" spans="1:18" x14ac:dyDescent="0.25">
      <c r="N22" s="15">
        <v>19</v>
      </c>
      <c r="O22" s="5">
        <f t="shared" si="1"/>
        <v>9089.16</v>
      </c>
      <c r="P22" s="5">
        <f t="shared" si="5"/>
        <v>5183.4209434578761</v>
      </c>
      <c r="Q22" s="5">
        <f t="shared" si="6"/>
        <v>7435.0378477419899</v>
      </c>
      <c r="R22" s="17">
        <f t="shared" si="7"/>
        <v>4240.0981933850653</v>
      </c>
    </row>
    <row r="23" spans="1:18" x14ac:dyDescent="0.25">
      <c r="N23" s="15">
        <v>20</v>
      </c>
      <c r="O23" s="5">
        <f t="shared" si="1"/>
        <v>9089.16</v>
      </c>
      <c r="P23" s="5">
        <f t="shared" si="5"/>
        <v>5032.4475179202682</v>
      </c>
      <c r="Q23" s="5">
        <f t="shared" si="6"/>
        <v>7435.0378477419899</v>
      </c>
      <c r="R23" s="17">
        <f t="shared" si="7"/>
        <v>4116.6001877524914</v>
      </c>
    </row>
    <row r="24" spans="1:18" x14ac:dyDescent="0.25">
      <c r="N24" s="15">
        <v>21</v>
      </c>
      <c r="O24" s="5">
        <f t="shared" si="1"/>
        <v>9089.16</v>
      </c>
      <c r="P24" s="5">
        <f t="shared" si="5"/>
        <v>4885.8713766216197</v>
      </c>
      <c r="Q24" s="5">
        <f t="shared" si="6"/>
        <v>7435.0378477419899</v>
      </c>
      <c r="R24" s="17">
        <f t="shared" si="7"/>
        <v>3996.6992114101854</v>
      </c>
    </row>
    <row r="25" spans="1:18" x14ac:dyDescent="0.25">
      <c r="N25" s="15">
        <v>22</v>
      </c>
      <c r="O25" s="5">
        <f t="shared" si="1"/>
        <v>9089.16</v>
      </c>
      <c r="P25" s="5">
        <f t="shared" si="5"/>
        <v>4743.5644433219613</v>
      </c>
      <c r="Q25" s="5">
        <f t="shared" si="6"/>
        <v>7435.0378477419899</v>
      </c>
      <c r="R25" s="17">
        <f t="shared" si="7"/>
        <v>3880.2904965147436</v>
      </c>
    </row>
    <row r="26" spans="1:18" x14ac:dyDescent="0.25">
      <c r="N26" s="15">
        <v>23</v>
      </c>
      <c r="O26" s="5">
        <f t="shared" si="1"/>
        <v>9089.16</v>
      </c>
      <c r="P26" s="5">
        <f t="shared" si="5"/>
        <v>4605.4023721572439</v>
      </c>
      <c r="Q26" s="5">
        <f t="shared" si="6"/>
        <v>7435.0378477419899</v>
      </c>
      <c r="R26" s="17">
        <f t="shared" si="7"/>
        <v>3767.2723267133429</v>
      </c>
    </row>
    <row r="27" spans="1:18" ht="15.75" thickBot="1" x14ac:dyDescent="0.3">
      <c r="N27" s="18">
        <v>24</v>
      </c>
      <c r="O27" s="19">
        <f t="shared" si="1"/>
        <v>9089.16</v>
      </c>
      <c r="P27" s="19">
        <f t="shared" si="5"/>
        <v>4471.2644389876159</v>
      </c>
      <c r="Q27" s="19">
        <f t="shared" si="6"/>
        <v>7435.0378477419899</v>
      </c>
      <c r="R27" s="20">
        <f t="shared" si="7"/>
        <v>3657.5459482653819</v>
      </c>
    </row>
    <row r="28" spans="1:18" x14ac:dyDescent="0.25">
      <c r="N28" s="8" t="s">
        <v>24</v>
      </c>
      <c r="O28" s="12">
        <f>SUM(O3:O27)</f>
        <v>190872.36000000004</v>
      </c>
      <c r="P28" s="37">
        <f t="shared" ref="P28:R28" si="8">SUM(P3:P27)</f>
        <v>128220.15085129171</v>
      </c>
      <c r="Q28" s="12">
        <f t="shared" si="8"/>
        <v>178440.90834580781</v>
      </c>
      <c r="R28" s="37">
        <f t="shared" si="8"/>
        <v>125916.39664922036</v>
      </c>
    </row>
    <row r="29" spans="1:18" x14ac:dyDescent="0.25">
      <c r="P29" s="7">
        <f>NPV(C19,O4:O27)</f>
        <v>128220.15085129162</v>
      </c>
      <c r="R29" s="7">
        <f>NPV($C$19,Q4:Q27)</f>
        <v>125916.39664922027</v>
      </c>
    </row>
    <row r="30" spans="1:18" x14ac:dyDescent="0.25">
      <c r="P30" s="7"/>
      <c r="Q30" s="1"/>
      <c r="R30" s="7"/>
    </row>
  </sheetData>
  <mergeCells count="8">
    <mergeCell ref="A2:A8"/>
    <mergeCell ref="A11:A17"/>
    <mergeCell ref="H1:L1"/>
    <mergeCell ref="N1:R1"/>
    <mergeCell ref="B1:C1"/>
    <mergeCell ref="E1:F1"/>
    <mergeCell ref="B10:C10"/>
    <mergeCell ref="E10:F10"/>
  </mergeCells>
  <pageMargins left="0.7" right="0.7" top="0.75" bottom="0.75" header="0.3" footer="0.3"/>
  <ignoredErrors>
    <ignoredError sqref="K4:K15 Q4:Q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Krediler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2025-01-13T16:35:11Z</dcterms:modified>
</cp:coreProperties>
</file>